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ml.chartshapes+xml"/>
  <Override PartName="/xl/drawings/drawing5.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6.xml" ContentType="application/vnd.openxmlformats-officedocument.drawingml.chartshapes+xml"/>
  <Override PartName="/xl/drawings/drawing7.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8.xml" ContentType="application/vnd.openxmlformats-officedocument.drawingml.chartshapes+xml"/>
  <Override PartName="/xl/drawings/drawing9.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0.xml" ContentType="application/vnd.openxmlformats-officedocument.drawingml.chartshapes+xml"/>
  <Override PartName="/xl/drawings/drawing11.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2.xml" ContentType="application/vnd.openxmlformats-officedocument.drawingml.chartshapes+xml"/>
  <Override PartName="/xl/drawings/drawing13.xml" ContentType="application/vnd.openxmlformats-officedocument.drawing+xml"/>
  <Override PartName="/xl/charts/chartEx1.xml" ContentType="application/vnd.ms-office.chartex+xml"/>
  <Override PartName="/xl/charts/style7.xml" ContentType="application/vnd.ms-office.chartstyle+xml"/>
  <Override PartName="/xl/charts/colors7.xml" ContentType="application/vnd.ms-office.chartcolorstyle+xml"/>
  <Override PartName="/xl/charts/chartEx2.xml" ContentType="application/vnd.ms-office.chartex+xml"/>
  <Override PartName="/xl/charts/style8.xml" ContentType="application/vnd.ms-office.chartstyle+xml"/>
  <Override PartName="/xl/charts/colors8.xml" ContentType="application/vnd.ms-office.chartcolorstyle+xml"/>
  <Override PartName="/xl/charts/chartEx3.xml" ContentType="application/vnd.ms-office.chartex+xml"/>
  <Override PartName="/xl/charts/style9.xml" ContentType="application/vnd.ms-office.chartstyle+xml"/>
  <Override PartName="/xl/charts/colors9.xml" ContentType="application/vnd.ms-office.chartcolorstyle+xml"/>
  <Override PartName="/xl/charts/chartEx4.xml" ContentType="application/vnd.ms-office.chartex+xml"/>
  <Override PartName="/xl/charts/style10.xml" ContentType="application/vnd.ms-office.chartstyle+xml"/>
  <Override PartName="/xl/charts/colors10.xml" ContentType="application/vnd.ms-office.chartcolorstyle+xml"/>
  <Override PartName="/xl/charts/chartEx5.xml" ContentType="application/vnd.ms-office.chartex+xml"/>
  <Override PartName="/xl/charts/style11.xml" ContentType="application/vnd.ms-office.chartstyle+xml"/>
  <Override PartName="/xl/charts/colors11.xml" ContentType="application/vnd.ms-office.chartcolorstyle+xml"/>
  <Override PartName="/xl/charts/chartEx6.xml" ContentType="application/vnd.ms-office.chartex+xml"/>
  <Override PartName="/xl/charts/style12.xml" ContentType="application/vnd.ms-office.chartstyle+xml"/>
  <Override PartName="/xl/charts/colors12.xml" ContentType="application/vnd.ms-office.chartcolorstyle+xml"/>
  <Override PartName="/xl/drawings/drawing14.xml" ContentType="application/vnd.openxmlformats-officedocument.drawing+xml"/>
  <Override PartName="/xl/charts/chart7.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15.xml" ContentType="application/vnd.openxmlformats-officedocument.drawingml.chartshapes+xml"/>
  <Override PartName="/xl/drawings/drawing16.xml" ContentType="application/vnd.openxmlformats-officedocument.drawing+xml"/>
  <Override PartName="/xl/charts/chart8.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17.xml" ContentType="application/vnd.openxmlformats-officedocument.drawingml.chartshapes+xml"/>
  <Override PartName="/xl/drawings/drawing18.xml" ContentType="application/vnd.openxmlformats-officedocument.drawing+xml"/>
  <Override PartName="/xl/ink/ink1.xml" ContentType="application/inkml+xml"/>
  <Override PartName="/xl/charts/chart9.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19.xml" ContentType="application/vnd.openxmlformats-officedocument.drawingml.chartshapes+xml"/>
  <Override PartName="/xl/ink/ink2.xml" ContentType="application/inkml+xml"/>
  <Override PartName="/xl/ink/ink3.xml" ContentType="application/inkml+xml"/>
  <Override PartName="/xl/ink/ink4.xml" ContentType="application/inkml+xml"/>
  <Override PartName="/xl/drawings/drawing20.xml" ContentType="application/vnd.openxmlformats-officedocument.drawing+xml"/>
  <Override PartName="/xl/charts/chart10.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21.xml" ContentType="application/vnd.openxmlformats-officedocument.drawingml.chartshapes+xml"/>
  <Override PartName="/xl/drawings/drawing22.xml" ContentType="application/vnd.openxmlformats-officedocument.drawing+xml"/>
  <Override PartName="/xl/charts/chart11.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23.xml" ContentType="application/vnd.openxmlformats-officedocument.drawingml.chartshapes+xml"/>
  <Override PartName="/xl/drawings/drawing24.xml" ContentType="application/vnd.openxmlformats-officedocument.drawing+xml"/>
  <Override PartName="/xl/charts/chart12.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25.xml" ContentType="application/vnd.openxmlformats-officedocument.drawingml.chartshapes+xml"/>
  <Override PartName="/xl/drawings/drawing26.xml" ContentType="application/vnd.openxmlformats-officedocument.drawing+xml"/>
  <Override PartName="/xl/charts/chart13.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27.xml" ContentType="application/vnd.openxmlformats-officedocument.drawingml.chartshapes+xml"/>
  <Override PartName="/xl/drawings/drawing28.xml" ContentType="application/vnd.openxmlformats-officedocument.drawing+xml"/>
  <Override PartName="/xl/charts/chart14.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29.xml" ContentType="application/vnd.openxmlformats-officedocument.drawingml.chartshapes+xml"/>
  <Override PartName="/xl/drawings/drawing30.xml" ContentType="application/vnd.openxmlformats-officedocument.drawing+xml"/>
  <Override PartName="/xl/charts/chart15.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31.xml" ContentType="application/vnd.openxmlformats-officedocument.drawingml.chartshapes+xml"/>
  <Override PartName="/xl/drawings/drawing32.xml" ContentType="application/vnd.openxmlformats-officedocument.drawing+xml"/>
  <Override PartName="/xl/charts/chart16.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33.xml" ContentType="application/vnd.openxmlformats-officedocument.drawingml.chartshapes+xml"/>
  <Override PartName="/xl/drawings/drawing34.xml" ContentType="application/vnd.openxmlformats-officedocument.drawing+xml"/>
  <Override PartName="/xl/charts/chart17.xml" ContentType="application/vnd.openxmlformats-officedocument.drawingml.chart+xml"/>
  <Override PartName="/xl/charts/style23.xml" ContentType="application/vnd.ms-office.chartstyle+xml"/>
  <Override PartName="/xl/charts/colors23.xml" ContentType="application/vnd.ms-office.chartcolorstyle+xml"/>
  <Override PartName="/xl/drawings/drawing35.xml" ContentType="application/vnd.openxmlformats-officedocument.drawingml.chartshapes+xml"/>
  <Override PartName="/xl/drawings/drawing36.xml" ContentType="application/vnd.openxmlformats-officedocument.drawing+xml"/>
  <Override PartName="/xl/charts/chart18.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37.xml" ContentType="application/vnd.openxmlformats-officedocument.drawingml.chartshapes+xml"/>
  <Override PartName="/xl/drawings/drawing38.xml" ContentType="application/vnd.openxmlformats-officedocument.drawing+xml"/>
  <Override PartName="/xl/charts/chart19.xml" ContentType="application/vnd.openxmlformats-officedocument.drawingml.chart+xml"/>
  <Override PartName="/xl/charts/style25.xml" ContentType="application/vnd.ms-office.chartstyle+xml"/>
  <Override PartName="/xl/charts/colors25.xml" ContentType="application/vnd.ms-office.chartcolorstyle+xml"/>
  <Override PartName="/xl/drawings/drawing39.xml" ContentType="application/vnd.openxmlformats-officedocument.drawingml.chartshapes+xml"/>
  <Override PartName="/xl/drawings/drawing40.xml" ContentType="application/vnd.openxmlformats-officedocument.drawing+xml"/>
  <Override PartName="/xl/charts/chart20.xml" ContentType="application/vnd.openxmlformats-officedocument.drawingml.chart+xml"/>
  <Override PartName="/xl/charts/style26.xml" ContentType="application/vnd.ms-office.chartstyle+xml"/>
  <Override PartName="/xl/charts/colors26.xml" ContentType="application/vnd.ms-office.chartcolorstyle+xml"/>
  <Override PartName="/xl/drawings/drawing41.xml" ContentType="application/vnd.openxmlformats-officedocument.drawingml.chartshapes+xml"/>
  <Override PartName="/xl/drawings/drawing42.xml" ContentType="application/vnd.openxmlformats-officedocument.drawing+xml"/>
  <Override PartName="/xl/charts/chart21.xml" ContentType="application/vnd.openxmlformats-officedocument.drawingml.chart+xml"/>
  <Override PartName="/xl/charts/style27.xml" ContentType="application/vnd.ms-office.chartstyle+xml"/>
  <Override PartName="/xl/charts/colors27.xml" ContentType="application/vnd.ms-office.chartcolorstyle+xml"/>
  <Override PartName="/xl/drawings/drawing43.xml" ContentType="application/vnd.openxmlformats-officedocument.drawingml.chartshapes+xml"/>
  <Override PartName="/xl/drawings/drawing44.xml" ContentType="application/vnd.openxmlformats-officedocument.drawing+xml"/>
  <Override PartName="/xl/charts/chart22.xml" ContentType="application/vnd.openxmlformats-officedocument.drawingml.chart+xml"/>
  <Override PartName="/xl/charts/style28.xml" ContentType="application/vnd.ms-office.chartstyle+xml"/>
  <Override PartName="/xl/charts/colors28.xml" ContentType="application/vnd.ms-office.chartcolorstyle+xml"/>
  <Override PartName="/xl/drawings/drawing45.xml" ContentType="application/vnd.openxmlformats-officedocument.drawingml.chartshapes+xml"/>
  <Override PartName="/xl/drawings/drawing46.xml" ContentType="application/vnd.openxmlformats-officedocument.drawing+xml"/>
  <Override PartName="/xl/charts/chart23.xml" ContentType="application/vnd.openxmlformats-officedocument.drawingml.chart+xml"/>
  <Override PartName="/xl/charts/style29.xml" ContentType="application/vnd.ms-office.chartstyle+xml"/>
  <Override PartName="/xl/charts/colors29.xml" ContentType="application/vnd.ms-office.chartcolorstyle+xml"/>
  <Override PartName="/xl/drawings/drawing47.xml" ContentType="application/vnd.openxmlformats-officedocument.drawingml.chartshapes+xml"/>
  <Override PartName="/xl/drawings/drawing48.xml" ContentType="application/vnd.openxmlformats-officedocument.drawing+xml"/>
  <Override PartName="/xl/charts/chart24.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49.xml" ContentType="application/vnd.openxmlformats-officedocument.drawingml.chartshapes+xml"/>
  <Override PartName="/xl/drawings/drawing50.xml" ContentType="application/vnd.openxmlformats-officedocument.drawing+xml"/>
  <Override PartName="/xl/charts/chart25.xml" ContentType="application/vnd.openxmlformats-officedocument.drawingml.chart+xml"/>
  <Override PartName="/xl/charts/style31.xml" ContentType="application/vnd.ms-office.chartstyle+xml"/>
  <Override PartName="/xl/charts/colors31.xml" ContentType="application/vnd.ms-office.chartcolorstyle+xml"/>
  <Override PartName="/xl/drawings/drawing51.xml" ContentType="application/vnd.openxmlformats-officedocument.drawingml.chartshapes+xml"/>
  <Override PartName="/xl/drawings/drawing52.xml" ContentType="application/vnd.openxmlformats-officedocument.drawing+xml"/>
  <Override PartName="/xl/charts/chart26.xml" ContentType="application/vnd.openxmlformats-officedocument.drawingml.chart+xml"/>
  <Override PartName="/xl/charts/style32.xml" ContentType="application/vnd.ms-office.chartstyle+xml"/>
  <Override PartName="/xl/charts/colors32.xml" ContentType="application/vnd.ms-office.chartcolorstyle+xml"/>
  <Override PartName="/xl/drawings/drawing53.xml" ContentType="application/vnd.openxmlformats-officedocument.drawingml.chartshapes+xml"/>
  <Override PartName="/xl/drawings/drawing54.xml" ContentType="application/vnd.openxmlformats-officedocument.drawing+xml"/>
  <Override PartName="/xl/charts/chart27.xml" ContentType="application/vnd.openxmlformats-officedocument.drawingml.chart+xml"/>
  <Override PartName="/xl/charts/style33.xml" ContentType="application/vnd.ms-office.chartstyle+xml"/>
  <Override PartName="/xl/charts/colors33.xml" ContentType="application/vnd.ms-office.chartcolorstyle+xml"/>
  <Override PartName="/xl/drawings/drawing55.xml" ContentType="application/vnd.openxmlformats-officedocument.drawingml.chartshapes+xml"/>
  <Override PartName="/xl/drawings/drawing56.xml" ContentType="application/vnd.openxmlformats-officedocument.drawing+xml"/>
  <Override PartName="/xl/charts/chart28.xml" ContentType="application/vnd.openxmlformats-officedocument.drawingml.chart+xml"/>
  <Override PartName="/xl/charts/style34.xml" ContentType="application/vnd.ms-office.chartstyle+xml"/>
  <Override PartName="/xl/charts/colors34.xml" ContentType="application/vnd.ms-office.chartcolorstyle+xml"/>
  <Override PartName="/xl/drawings/drawing57.xml" ContentType="application/vnd.openxmlformats-officedocument.drawingml.chartshapes+xml"/>
  <Override PartName="/xl/drawings/drawing58.xml" ContentType="application/vnd.openxmlformats-officedocument.drawing+xml"/>
  <Override PartName="/xl/charts/chart29.xml" ContentType="application/vnd.openxmlformats-officedocument.drawingml.chart+xml"/>
  <Override PartName="/xl/charts/style35.xml" ContentType="application/vnd.ms-office.chartstyle+xml"/>
  <Override PartName="/xl/charts/colors35.xml" ContentType="application/vnd.ms-office.chartcolorstyle+xml"/>
  <Override PartName="/xl/drawings/drawing59.xml" ContentType="application/vnd.openxmlformats-officedocument.drawingml.chartshapes+xml"/>
  <Override PartName="/xl/drawings/drawing60.xml" ContentType="application/vnd.openxmlformats-officedocument.drawing+xml"/>
  <Override PartName="/xl/charts/chart30.xml" ContentType="application/vnd.openxmlformats-officedocument.drawingml.chart+xml"/>
  <Override PartName="/xl/charts/style36.xml" ContentType="application/vnd.ms-office.chartstyle+xml"/>
  <Override PartName="/xl/charts/colors36.xml" ContentType="application/vnd.ms-office.chartcolorstyle+xml"/>
  <Override PartName="/xl/drawings/drawing61.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C:\Users\kylte\Dropbox\European Weapons Industry\"/>
    </mc:Choice>
  </mc:AlternateContent>
  <xr:revisionPtr revIDLastSave="0" documentId="13_ncr:1_{0375D94A-0BB9-4C0C-B852-E76E251D2DF7}" xr6:coauthVersionLast="47" xr6:coauthVersionMax="47" xr10:uidLastSave="{00000000-0000-0000-0000-000000000000}"/>
  <bookViews>
    <workbookView xWindow="-108" yWindow="-108" windowWidth="22284" windowHeight="13176" tabRatio="743" xr2:uid="{1F6B6C41-BA46-40E5-9685-523CC502BECB}"/>
  </bookViews>
  <sheets>
    <sheet name="ReadMe" sheetId="106" r:id="rId1"/>
    <sheet name="MAIN DATA, Orders" sheetId="1" r:id="rId2"/>
    <sheet name="Amm. Framework Agreements" sheetId="9" r:id="rId3"/>
    <sheet name="Unit Costs" sheetId="8" r:id="rId4"/>
    <sheet name="General Item Type by Month" sheetId="43" r:id="rId5"/>
    <sheet name="Item Classification" sheetId="2" r:id="rId6"/>
    <sheet name="List of Classifications" sheetId="109" r:id="rId7"/>
    <sheet name="Table 1.1 Replenishment" sheetId="93" r:id="rId8"/>
    <sheet name="Fig 5.1 Total Orders" sheetId="13" r:id="rId9"/>
    <sheet name="Fig 5.2 Orders by Category" sheetId="15" r:id="rId10"/>
    <sheet name="Fig 5.3 Orders by Origin" sheetId="17" r:id="rId11"/>
    <sheet name="Fig 5.3a Orders by Origin (%)" sheetId="19" r:id="rId12"/>
    <sheet name="Fig 5.4 Orders for Land Forces" sheetId="21" r:id="rId13"/>
    <sheet name="Fig 5.5 Order Priorities" sheetId="105" r:id="rId14"/>
    <sheet name="Fig 5.6 Orders and Ukraine" sheetId="99" r:id="rId15"/>
    <sheet name="Fig 6.2 Orders by Fund" sheetId="47" r:id="rId16"/>
    <sheet name="Fig 6.3 Orders by Fund Overview" sheetId="90" r:id="rId17"/>
    <sheet name="Fig 7.1 Years to Delivery" sheetId="98" r:id="rId18"/>
    <sheet name="Fig 7.2 No Delivery Date" sheetId="103" r:id="rId19"/>
    <sheet name="Fig 7.3 Ammunition Unit Costs" sheetId="104" r:id="rId20"/>
    <sheet name="Fig A5.1 Contract Extensions" sheetId="14" r:id="rId21"/>
    <sheet name="Fig A5.2 Ammunition (€)" sheetId="22" r:id="rId22"/>
    <sheet name="Fig A5.3 Ammunition (units)" sheetId="24" r:id="rId23"/>
    <sheet name="Fig A5.4 Howitzer (€)" sheetId="26" r:id="rId24"/>
    <sheet name="Fig A5.5 Howitzer (units)" sheetId="27" r:id="rId25"/>
    <sheet name="Fig A5.6 MBT Tank (€)" sheetId="29" r:id="rId26"/>
    <sheet name="Fig A5.7 MBT Tank (units)" sheetId="30" r:id="rId27"/>
    <sheet name="Fig A5.8 Missile (€)" sheetId="32" r:id="rId28"/>
    <sheet name="Fig A5.9 Missile (units)" sheetId="33" r:id="rId29"/>
    <sheet name="Fig A5.10 Missile Category (€)" sheetId="94" r:id="rId30"/>
    <sheet name="Fig A5.11 Air Defence (€)" sheetId="35" r:id="rId31"/>
    <sheet name="Fig A5.12 Air Defence (units)" sheetId="36" r:id="rId32"/>
    <sheet name="Fig A5.13 Armoured vehicle (€)" sheetId="38" r:id="rId33"/>
    <sheet name="Fig A5.14 Arm. vehicle (units)" sheetId="39" r:id="rId34"/>
    <sheet name="Fig A5.15 Aircraft (€)" sheetId="45" r:id="rId35"/>
    <sheet name="Fig A5.16 Fighter Jet (units)" sheetId="55" r:id="rId36"/>
    <sheet name="Fig A5.17 Aircraft Develop. (€)" sheetId="54" r:id="rId37"/>
    <sheet name="Fig A6.1 Land Forces by Fund" sheetId="23" r:id="rId38"/>
    <sheet name="Fig A6.2 Land by Fund Overview" sheetId="107" r:id="rId39"/>
    <sheet name="Table A7.1 Ammunition Orders" sheetId="60" r:id="rId40"/>
    <sheet name="Table A7.2 Amm. Frame. (Basic)" sheetId="89" r:id="rId41"/>
    <sheet name="Table A7.3 Amm. Frame. (Ext)" sheetId="108" r:id="rId42"/>
  </sheets>
  <definedNames>
    <definedName name="_xlnm._FilterDatabase" localSheetId="2" hidden="1">'Amm. Framework Agreements'!$A$1:$AF$63</definedName>
    <definedName name="_xlnm._FilterDatabase" localSheetId="5" hidden="1">'Item Classification'!$B$9:$E$9</definedName>
    <definedName name="_xlnm._FilterDatabase" localSheetId="1" hidden="1">'MAIN DATA, Orders'!$A$1:$AW$1</definedName>
    <definedName name="_xlnm._FilterDatabase" localSheetId="3" hidden="1">'Unit Costs'!$B$6:$I$107</definedName>
    <definedName name="_xlchart.v1.0" hidden="1">'Fig 5.6 Orders and Ukraine'!$C$10:$F$10</definedName>
    <definedName name="_xlchart.v1.1" hidden="1">'Fig 5.6 Orders and Ukraine'!$C$6:$F$6</definedName>
    <definedName name="_xlchart.v1.10" hidden="1">'Fig 5.6 Orders and Ukraine'!$C$12:$F$12</definedName>
    <definedName name="_xlchart.v1.11" hidden="1">'Fig 5.6 Orders and Ukraine'!$C$6:$F$6</definedName>
    <definedName name="_xlchart.v1.2" hidden="1">'Fig 5.6 Orders and Ukraine'!$C$6:$F$6</definedName>
    <definedName name="_xlchart.v1.3" hidden="1">'Fig 5.6 Orders and Ukraine'!$C$8:$F$8</definedName>
    <definedName name="_xlchart.v1.4" hidden="1">'Fig 5.6 Orders and Ukraine'!$C$11:$F$11</definedName>
    <definedName name="_xlchart.v1.5" hidden="1">'Fig 5.6 Orders and Ukraine'!$C$6:$F$6</definedName>
    <definedName name="_xlchart.v1.6" hidden="1">'Fig 5.6 Orders and Ukraine'!$C$6:$F$6</definedName>
    <definedName name="_xlchart.v1.7" hidden="1">'Fig 5.6 Orders and Ukraine'!$C$9:$F$9</definedName>
    <definedName name="_xlchart.v1.8" hidden="1">'Fig 5.6 Orders and Ukraine'!$C$6:$F$6</definedName>
    <definedName name="_xlchart.v1.9" hidden="1">'Fig 5.6 Orders and Ukraine'!$C$7:$F$7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1" i="93" l="1"/>
  <c r="G10" i="93"/>
  <c r="G9" i="93"/>
  <c r="G12" i="93"/>
  <c r="G13" i="93"/>
  <c r="D8" i="93"/>
  <c r="D9" i="93"/>
  <c r="D10" i="93"/>
  <c r="D11" i="93"/>
  <c r="D12" i="93"/>
  <c r="D13" i="93"/>
  <c r="C7" i="23"/>
  <c r="F7" i="90"/>
  <c r="E7" i="90"/>
  <c r="D7" i="90"/>
  <c r="C7" i="90"/>
  <c r="D8" i="105"/>
  <c r="C8" i="105"/>
  <c r="G8" i="19"/>
  <c r="G7" i="19"/>
  <c r="F8" i="19"/>
  <c r="F7" i="19"/>
  <c r="E8" i="19"/>
  <c r="E7" i="19"/>
  <c r="D8" i="19"/>
  <c r="D7" i="19"/>
  <c r="C8" i="19"/>
  <c r="C7" i="19"/>
  <c r="F112" i="98"/>
  <c r="H112" i="98" s="1"/>
  <c r="E112" i="98"/>
  <c r="G112" i="98" s="1"/>
  <c r="C112" i="98"/>
  <c r="I13" i="103"/>
  <c r="I14" i="103"/>
  <c r="I15" i="103"/>
  <c r="I7" i="103"/>
  <c r="E7" i="17"/>
  <c r="I4" i="9"/>
  <c r="I112" i="98" l="1"/>
  <c r="E8" i="17"/>
  <c r="E9" i="17"/>
  <c r="E10" i="17"/>
  <c r="E11" i="17"/>
  <c r="E12" i="17"/>
  <c r="E13" i="17"/>
  <c r="E14" i="17"/>
  <c r="E15" i="17"/>
  <c r="E16" i="17"/>
  <c r="E17" i="17"/>
  <c r="E18" i="17"/>
  <c r="E19" i="17"/>
  <c r="E20" i="17"/>
  <c r="E21" i="17"/>
  <c r="E22" i="17"/>
  <c r="E23" i="17"/>
  <c r="E24" i="17"/>
  <c r="E25" i="17"/>
  <c r="E26" i="17"/>
  <c r="E27" i="17"/>
  <c r="E28" i="17"/>
  <c r="E29" i="17"/>
  <c r="E30" i="17"/>
  <c r="E31" i="17"/>
  <c r="E32" i="17"/>
  <c r="E33" i="17"/>
  <c r="E34" i="17"/>
  <c r="E35" i="17"/>
  <c r="E36" i="17"/>
  <c r="E37" i="17"/>
  <c r="E38" i="17"/>
  <c r="E39" i="17"/>
  <c r="E40" i="17"/>
  <c r="E41" i="17"/>
  <c r="E42" i="17"/>
  <c r="E43" i="17"/>
  <c r="E44" i="17"/>
  <c r="E45" i="17"/>
  <c r="E46" i="17"/>
  <c r="E47" i="17"/>
  <c r="E48" i="17"/>
  <c r="E49" i="17"/>
  <c r="E50" i="17"/>
  <c r="E51" i="17"/>
  <c r="E52" i="17"/>
  <c r="E53" i="17"/>
  <c r="E54" i="17"/>
  <c r="E55" i="17"/>
  <c r="E56" i="17"/>
  <c r="E57" i="17"/>
  <c r="E58" i="17"/>
  <c r="E59" i="17"/>
  <c r="E60" i="17"/>
  <c r="E61" i="17"/>
  <c r="D8" i="17"/>
  <c r="D9" i="17"/>
  <c r="D10" i="17"/>
  <c r="D11" i="17"/>
  <c r="D12" i="17"/>
  <c r="D13" i="17"/>
  <c r="D14" i="17"/>
  <c r="D15" i="17"/>
  <c r="D16" i="17"/>
  <c r="D17" i="17"/>
  <c r="D18" i="17"/>
  <c r="D19" i="17"/>
  <c r="D20" i="17"/>
  <c r="D21" i="17"/>
  <c r="D22" i="17"/>
  <c r="D23" i="17"/>
  <c r="D24" i="17"/>
  <c r="D25" i="17"/>
  <c r="D26" i="17"/>
  <c r="D27" i="17"/>
  <c r="D28" i="17"/>
  <c r="D29" i="17"/>
  <c r="D30" i="17"/>
  <c r="D31" i="17"/>
  <c r="D32" i="17"/>
  <c r="D33" i="17"/>
  <c r="D34" i="17"/>
  <c r="D35" i="17"/>
  <c r="D36" i="17"/>
  <c r="D37" i="17"/>
  <c r="D38" i="17"/>
  <c r="D39" i="17"/>
  <c r="D40" i="17"/>
  <c r="D41" i="17"/>
  <c r="D42" i="17"/>
  <c r="D43" i="17"/>
  <c r="D44" i="17"/>
  <c r="D45" i="17"/>
  <c r="D46" i="17"/>
  <c r="D47" i="17"/>
  <c r="D48" i="17"/>
  <c r="D49" i="17"/>
  <c r="D50" i="17"/>
  <c r="D51" i="17"/>
  <c r="D52" i="17"/>
  <c r="D53" i="17"/>
  <c r="D54" i="17"/>
  <c r="D55" i="17"/>
  <c r="D56" i="17"/>
  <c r="D57" i="17"/>
  <c r="D58" i="17"/>
  <c r="D59" i="17"/>
  <c r="D60" i="17"/>
  <c r="D61" i="17"/>
  <c r="C8" i="17"/>
  <c r="C9" i="17"/>
  <c r="C10" i="17"/>
  <c r="C11" i="17"/>
  <c r="C12" i="17"/>
  <c r="C13" i="17"/>
  <c r="C14" i="17"/>
  <c r="C15" i="17"/>
  <c r="C16" i="17"/>
  <c r="C17" i="17"/>
  <c r="C18" i="17"/>
  <c r="C19" i="17"/>
  <c r="C20" i="17"/>
  <c r="C21" i="17"/>
  <c r="C22" i="17"/>
  <c r="C23" i="17"/>
  <c r="C24" i="17"/>
  <c r="C25" i="17"/>
  <c r="C26" i="17"/>
  <c r="C27" i="17"/>
  <c r="C28" i="17"/>
  <c r="C29" i="17"/>
  <c r="C30" i="17"/>
  <c r="C31" i="17"/>
  <c r="C32" i="17"/>
  <c r="C33" i="17"/>
  <c r="C34" i="17"/>
  <c r="C35" i="17"/>
  <c r="C36" i="17"/>
  <c r="C37" i="17"/>
  <c r="C38" i="17"/>
  <c r="C39" i="17"/>
  <c r="C40" i="17"/>
  <c r="C41" i="17"/>
  <c r="C42" i="17"/>
  <c r="C43" i="17"/>
  <c r="C44" i="17"/>
  <c r="C45" i="17"/>
  <c r="C46" i="17"/>
  <c r="C47" i="17"/>
  <c r="C48" i="17"/>
  <c r="C49" i="17"/>
  <c r="C50" i="17"/>
  <c r="C51" i="17"/>
  <c r="C52" i="17"/>
  <c r="C53" i="17"/>
  <c r="C54" i="17"/>
  <c r="C55" i="17"/>
  <c r="C56" i="17"/>
  <c r="C57" i="17"/>
  <c r="C58" i="17"/>
  <c r="C59" i="17"/>
  <c r="C60" i="17"/>
  <c r="C61" i="17"/>
  <c r="C7" i="17"/>
  <c r="E8" i="23"/>
  <c r="E9" i="23"/>
  <c r="E10" i="23"/>
  <c r="E11" i="23"/>
  <c r="E12" i="23"/>
  <c r="E13" i="23"/>
  <c r="E14" i="23"/>
  <c r="E15" i="23"/>
  <c r="E16" i="23"/>
  <c r="E17" i="23"/>
  <c r="E18" i="23"/>
  <c r="E19" i="23"/>
  <c r="E20" i="23"/>
  <c r="E21" i="23"/>
  <c r="E22" i="23"/>
  <c r="E23" i="23"/>
  <c r="E24" i="23"/>
  <c r="E25" i="23"/>
  <c r="E26" i="23"/>
  <c r="E27" i="23"/>
  <c r="E28" i="23"/>
  <c r="E29" i="23"/>
  <c r="E30" i="23"/>
  <c r="E31" i="23"/>
  <c r="E32" i="23"/>
  <c r="E33" i="23"/>
  <c r="E34" i="23"/>
  <c r="E35" i="23"/>
  <c r="E36" i="23"/>
  <c r="E37" i="23"/>
  <c r="E38" i="23"/>
  <c r="E39" i="23"/>
  <c r="E40" i="23"/>
  <c r="E41" i="23"/>
  <c r="E42" i="23"/>
  <c r="E43" i="23"/>
  <c r="E46" i="23"/>
  <c r="E48" i="23"/>
  <c r="E50" i="23"/>
  <c r="E51" i="23"/>
  <c r="E55" i="23"/>
  <c r="E56" i="23"/>
  <c r="E58" i="23"/>
  <c r="E59" i="23"/>
  <c r="E7" i="23"/>
  <c r="D8" i="23"/>
  <c r="D9" i="23"/>
  <c r="D10" i="23"/>
  <c r="D11" i="23"/>
  <c r="D12" i="23"/>
  <c r="D13" i="23"/>
  <c r="D14" i="23"/>
  <c r="D15" i="23"/>
  <c r="D16" i="23"/>
  <c r="D17" i="23"/>
  <c r="D18" i="23"/>
  <c r="D19" i="23"/>
  <c r="D20" i="23"/>
  <c r="D21" i="23"/>
  <c r="D22" i="23"/>
  <c r="D23" i="23"/>
  <c r="D24" i="23"/>
  <c r="D25" i="23"/>
  <c r="D26" i="23"/>
  <c r="D27" i="23"/>
  <c r="D28" i="23"/>
  <c r="D29" i="23"/>
  <c r="D30" i="23"/>
  <c r="D31" i="23"/>
  <c r="D32" i="23"/>
  <c r="D33" i="23"/>
  <c r="D34" i="23"/>
  <c r="D35" i="23"/>
  <c r="D37" i="23"/>
  <c r="D38" i="23"/>
  <c r="D39" i="23"/>
  <c r="D40" i="23"/>
  <c r="D41" i="23"/>
  <c r="D43" i="23"/>
  <c r="D44" i="23"/>
  <c r="D46" i="23"/>
  <c r="D50" i="23"/>
  <c r="D51" i="23"/>
  <c r="D7" i="23"/>
  <c r="C8" i="23"/>
  <c r="C9" i="23"/>
  <c r="C10" i="23"/>
  <c r="C13" i="23"/>
  <c r="C19" i="23"/>
  <c r="C21" i="23"/>
  <c r="C25" i="23"/>
  <c r="C26" i="23"/>
  <c r="C27" i="23"/>
  <c r="C28" i="23"/>
  <c r="C29" i="23"/>
  <c r="C30" i="23"/>
  <c r="C31" i="23"/>
  <c r="C32" i="23"/>
  <c r="C33" i="23"/>
  <c r="C38" i="23"/>
  <c r="C43" i="23"/>
  <c r="C50" i="23"/>
  <c r="C55" i="23"/>
  <c r="C58" i="23"/>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7" i="14"/>
  <c r="C8" i="14"/>
  <c r="C9" i="14"/>
  <c r="C10" i="14"/>
  <c r="C11" i="14"/>
  <c r="C12" i="14"/>
  <c r="C13" i="14"/>
  <c r="C14" i="14"/>
  <c r="C15" i="14"/>
  <c r="C16" i="14"/>
  <c r="C17" i="14"/>
  <c r="C18" i="14"/>
  <c r="C19" i="14"/>
  <c r="C20" i="14"/>
  <c r="C21" i="14"/>
  <c r="C22" i="14"/>
  <c r="C23" i="14"/>
  <c r="C24" i="14"/>
  <c r="C25" i="14"/>
  <c r="C26" i="14"/>
  <c r="C27" i="14"/>
  <c r="C28" i="14"/>
  <c r="C29" i="14"/>
  <c r="C30" i="14"/>
  <c r="C31" i="14"/>
  <c r="C32" i="14"/>
  <c r="C33" i="14"/>
  <c r="C34" i="14"/>
  <c r="C35" i="14"/>
  <c r="C36" i="14"/>
  <c r="C37" i="14"/>
  <c r="C38" i="14"/>
  <c r="C39" i="14"/>
  <c r="C40" i="14"/>
  <c r="C41" i="14"/>
  <c r="C42" i="14"/>
  <c r="C43" i="14"/>
  <c r="C44" i="14"/>
  <c r="C45" i="14"/>
  <c r="C46" i="14"/>
  <c r="C47" i="14"/>
  <c r="C48" i="14"/>
  <c r="C49" i="14"/>
  <c r="C50" i="14"/>
  <c r="C51" i="14"/>
  <c r="C52" i="14"/>
  <c r="C53" i="14"/>
  <c r="C54" i="14"/>
  <c r="C55" i="14"/>
  <c r="C56" i="14"/>
  <c r="C57" i="14"/>
  <c r="C58" i="14"/>
  <c r="C59" i="14"/>
  <c r="C60" i="14"/>
  <c r="C61" i="14"/>
  <c r="C7" i="14"/>
  <c r="E8" i="47"/>
  <c r="E9" i="47"/>
  <c r="E10" i="47"/>
  <c r="E11" i="47"/>
  <c r="E12" i="47"/>
  <c r="E13" i="47"/>
  <c r="E14" i="47"/>
  <c r="E15" i="47"/>
  <c r="E16" i="47"/>
  <c r="E17" i="47"/>
  <c r="E18" i="47"/>
  <c r="E19" i="47"/>
  <c r="E20" i="47"/>
  <c r="E21" i="47"/>
  <c r="E22" i="47"/>
  <c r="E23" i="47"/>
  <c r="E24" i="47"/>
  <c r="E25" i="47"/>
  <c r="E26" i="47"/>
  <c r="E27" i="47"/>
  <c r="E28" i="47"/>
  <c r="E29" i="47"/>
  <c r="E30" i="47"/>
  <c r="E31" i="47"/>
  <c r="E32" i="47"/>
  <c r="E33" i="47"/>
  <c r="E34" i="47"/>
  <c r="E35" i="47"/>
  <c r="E36" i="47"/>
  <c r="E37" i="47"/>
  <c r="E38" i="47"/>
  <c r="E39" i="47"/>
  <c r="E40" i="47"/>
  <c r="E41" i="47"/>
  <c r="E42" i="47"/>
  <c r="E43" i="47"/>
  <c r="E44" i="47"/>
  <c r="E45" i="47"/>
  <c r="E46" i="47"/>
  <c r="E47" i="47"/>
  <c r="E48" i="47"/>
  <c r="E49" i="47"/>
  <c r="E50" i="47"/>
  <c r="E51" i="47"/>
  <c r="E52" i="47"/>
  <c r="E53" i="47"/>
  <c r="E54" i="47"/>
  <c r="E55" i="47"/>
  <c r="E56" i="47"/>
  <c r="E57" i="47"/>
  <c r="E58" i="47"/>
  <c r="E59" i="47"/>
  <c r="E60" i="47"/>
  <c r="E61" i="47"/>
  <c r="E7" i="47"/>
  <c r="D8" i="47"/>
  <c r="D9" i="47"/>
  <c r="D10" i="47"/>
  <c r="D11" i="47"/>
  <c r="D12" i="47"/>
  <c r="D13" i="47"/>
  <c r="D14" i="47"/>
  <c r="D15" i="47"/>
  <c r="D16" i="47"/>
  <c r="D17" i="47"/>
  <c r="D18" i="47"/>
  <c r="D19" i="47"/>
  <c r="D20" i="47"/>
  <c r="D21" i="47"/>
  <c r="D22" i="47"/>
  <c r="D23" i="47"/>
  <c r="D24" i="47"/>
  <c r="D25" i="47"/>
  <c r="D26" i="47"/>
  <c r="D27" i="47"/>
  <c r="D28" i="47"/>
  <c r="D29" i="47"/>
  <c r="D30" i="47"/>
  <c r="D31" i="47"/>
  <c r="D32" i="47"/>
  <c r="D33" i="47"/>
  <c r="D34" i="47"/>
  <c r="D35" i="47"/>
  <c r="D36" i="47"/>
  <c r="D37" i="47"/>
  <c r="D38" i="47"/>
  <c r="D39" i="47"/>
  <c r="D40" i="47"/>
  <c r="D41" i="47"/>
  <c r="D42" i="47"/>
  <c r="D43" i="47"/>
  <c r="D44" i="47"/>
  <c r="D45" i="47"/>
  <c r="D46" i="47"/>
  <c r="D47" i="47"/>
  <c r="D48" i="47"/>
  <c r="D49" i="47"/>
  <c r="D50" i="47"/>
  <c r="D51" i="47"/>
  <c r="D52" i="47"/>
  <c r="D53" i="47"/>
  <c r="D54" i="47"/>
  <c r="D55" i="47"/>
  <c r="D56" i="47"/>
  <c r="D57" i="47"/>
  <c r="D58" i="47"/>
  <c r="D59" i="47"/>
  <c r="D60" i="47"/>
  <c r="D61" i="47"/>
  <c r="D7" i="47"/>
  <c r="C8" i="47"/>
  <c r="C9" i="47"/>
  <c r="C10" i="47"/>
  <c r="C11" i="47"/>
  <c r="C12" i="47"/>
  <c r="C13" i="47"/>
  <c r="C14" i="47"/>
  <c r="C15" i="47"/>
  <c r="C16" i="47"/>
  <c r="C17" i="47"/>
  <c r="C18" i="47"/>
  <c r="C19" i="47"/>
  <c r="C20" i="47"/>
  <c r="C21" i="47"/>
  <c r="C22" i="47"/>
  <c r="C23" i="47"/>
  <c r="C24" i="47"/>
  <c r="C25" i="47"/>
  <c r="C26" i="47"/>
  <c r="C27" i="47"/>
  <c r="C28" i="47"/>
  <c r="C29" i="47"/>
  <c r="C30" i="47"/>
  <c r="C31" i="47"/>
  <c r="C32" i="47"/>
  <c r="C33" i="47"/>
  <c r="C34" i="47"/>
  <c r="C35" i="47"/>
  <c r="C36" i="47"/>
  <c r="C37" i="47"/>
  <c r="C38" i="47"/>
  <c r="C39" i="47"/>
  <c r="C40" i="47"/>
  <c r="C41" i="47"/>
  <c r="C42" i="47"/>
  <c r="C43" i="47"/>
  <c r="C44" i="47"/>
  <c r="C45" i="47"/>
  <c r="C46" i="47"/>
  <c r="C47" i="47"/>
  <c r="C48" i="47"/>
  <c r="C49" i="47"/>
  <c r="C50" i="47"/>
  <c r="C51" i="47"/>
  <c r="C52" i="47"/>
  <c r="C53" i="47"/>
  <c r="C54" i="47"/>
  <c r="C55" i="47"/>
  <c r="C56" i="47"/>
  <c r="C57" i="47"/>
  <c r="C58" i="47"/>
  <c r="C59" i="47"/>
  <c r="C60" i="47"/>
  <c r="C61" i="47"/>
  <c r="C7" i="47"/>
  <c r="F8" i="17"/>
  <c r="F9" i="17"/>
  <c r="F10" i="17"/>
  <c r="F11" i="17"/>
  <c r="F12" i="17"/>
  <c r="F13" i="17"/>
  <c r="F14" i="17"/>
  <c r="F15" i="17"/>
  <c r="F16" i="17"/>
  <c r="F17" i="17"/>
  <c r="F18" i="17"/>
  <c r="F19" i="17"/>
  <c r="F20" i="17"/>
  <c r="F21" i="17"/>
  <c r="F22" i="17"/>
  <c r="F23" i="17"/>
  <c r="F24" i="17"/>
  <c r="F25" i="17"/>
  <c r="F26" i="17"/>
  <c r="F27" i="17"/>
  <c r="F28" i="17"/>
  <c r="F29" i="17"/>
  <c r="F30" i="17"/>
  <c r="F31" i="17"/>
  <c r="F32" i="17"/>
  <c r="F33" i="17"/>
  <c r="F34" i="17"/>
  <c r="F35" i="17"/>
  <c r="F36" i="17"/>
  <c r="F37" i="17"/>
  <c r="F38" i="17"/>
  <c r="F39" i="17"/>
  <c r="F40" i="17"/>
  <c r="F41" i="17"/>
  <c r="F42" i="17"/>
  <c r="F43" i="17"/>
  <c r="F44" i="17"/>
  <c r="F45" i="17"/>
  <c r="F46" i="17"/>
  <c r="F47" i="17"/>
  <c r="F48" i="17"/>
  <c r="F49" i="17"/>
  <c r="F50" i="17"/>
  <c r="F51" i="17"/>
  <c r="F52" i="17"/>
  <c r="F53" i="17"/>
  <c r="F54" i="17"/>
  <c r="F55" i="17"/>
  <c r="F56" i="17"/>
  <c r="F57" i="17"/>
  <c r="F58" i="17"/>
  <c r="F59" i="17"/>
  <c r="F60" i="17"/>
  <c r="F61" i="17"/>
  <c r="F7" i="17"/>
  <c r="D7" i="17"/>
  <c r="AJ8" i="43" a="1"/>
  <c r="AJ8" i="43" s="1"/>
  <c r="AJ9" i="43" a="1"/>
  <c r="AJ9" i="43" s="1"/>
  <c r="AJ10" i="43" a="1"/>
  <c r="AJ10" i="43" s="1"/>
  <c r="AJ13" i="43" a="1"/>
  <c r="AJ13" i="43" s="1"/>
  <c r="AJ19" i="43" a="1"/>
  <c r="AJ19" i="43" s="1"/>
  <c r="AJ21" i="43" a="1"/>
  <c r="AJ21" i="43" s="1"/>
  <c r="AJ25" i="43" a="1"/>
  <c r="AJ25" i="43" s="1"/>
  <c r="AJ26" i="43" a="1"/>
  <c r="AJ26" i="43" s="1"/>
  <c r="AJ27" i="43" a="1"/>
  <c r="AJ27" i="43" s="1"/>
  <c r="AJ28" i="43" a="1"/>
  <c r="AJ28" i="43" s="1"/>
  <c r="AJ29" i="43" a="1"/>
  <c r="AJ29" i="43" s="1"/>
  <c r="AJ30" i="43" a="1"/>
  <c r="AJ30" i="43" s="1"/>
  <c r="AJ31" i="43" a="1"/>
  <c r="AJ31" i="43" s="1"/>
  <c r="AJ32" i="43" a="1"/>
  <c r="AJ32" i="43" s="1"/>
  <c r="AJ33" i="43" a="1"/>
  <c r="AJ33" i="43" s="1"/>
  <c r="AJ38" i="43" a="1"/>
  <c r="AJ38" i="43" s="1"/>
  <c r="AJ43" i="43" a="1"/>
  <c r="AJ43" i="43" s="1"/>
  <c r="AJ50" i="43" a="1"/>
  <c r="AJ50" i="43" s="1"/>
  <c r="AJ7" i="43" a="1"/>
  <c r="AJ7" i="43" s="1"/>
  <c r="AH8" i="43" a="1"/>
  <c r="AH8" i="43" s="1"/>
  <c r="AH9" i="43" a="1"/>
  <c r="AH9" i="43" s="1"/>
  <c r="AH10" i="43" a="1"/>
  <c r="AH10" i="43" s="1"/>
  <c r="AH13" i="43" a="1"/>
  <c r="AH13" i="43" s="1"/>
  <c r="AH19" i="43" a="1"/>
  <c r="AH19" i="43" s="1"/>
  <c r="AH21" i="43" a="1"/>
  <c r="AH21" i="43" s="1"/>
  <c r="AH25" i="43" a="1"/>
  <c r="AH25" i="43" s="1"/>
  <c r="AH26" i="43" a="1"/>
  <c r="AH26" i="43" s="1"/>
  <c r="AH27" i="43" a="1"/>
  <c r="AH27" i="43" s="1"/>
  <c r="AH28" i="43" a="1"/>
  <c r="AH28" i="43" s="1"/>
  <c r="AH29" i="43" a="1"/>
  <c r="AH29" i="43" s="1"/>
  <c r="AH30" i="43" a="1"/>
  <c r="AH30" i="43" s="1"/>
  <c r="AH31" i="43" a="1"/>
  <c r="AH31" i="43" s="1"/>
  <c r="AH32" i="43" a="1"/>
  <c r="AH32" i="43" s="1"/>
  <c r="AH33" i="43" a="1"/>
  <c r="AH33" i="43" s="1"/>
  <c r="AH38" i="43" a="1"/>
  <c r="AH38" i="43" s="1"/>
  <c r="AH43" i="43" a="1"/>
  <c r="AH43" i="43" s="1"/>
  <c r="AH50" i="43" a="1"/>
  <c r="AH50" i="43" s="1"/>
  <c r="AH7" i="43" a="1"/>
  <c r="AH7" i="43" s="1"/>
  <c r="AF8" i="43"/>
  <c r="AF9" i="43"/>
  <c r="AF10" i="43"/>
  <c r="AF13" i="43"/>
  <c r="AF19" i="43"/>
  <c r="AF21" i="43"/>
  <c r="AF25" i="43"/>
  <c r="AF26" i="43"/>
  <c r="AF27" i="43"/>
  <c r="AF28" i="43"/>
  <c r="AF29" i="43"/>
  <c r="AF30" i="43"/>
  <c r="AF31" i="43"/>
  <c r="AF32" i="43"/>
  <c r="AF33" i="43"/>
  <c r="AF38" i="43"/>
  <c r="AF43" i="43"/>
  <c r="AF50" i="43"/>
  <c r="AF7" i="43"/>
  <c r="AE8" i="43"/>
  <c r="AE9" i="43"/>
  <c r="AE10" i="43"/>
  <c r="AE13" i="43"/>
  <c r="AE19" i="43"/>
  <c r="AE21" i="43"/>
  <c r="AE25" i="43"/>
  <c r="AE26" i="43"/>
  <c r="AE27" i="43"/>
  <c r="AE28" i="43"/>
  <c r="AE29" i="43"/>
  <c r="AE30" i="43"/>
  <c r="AE31" i="43"/>
  <c r="AE32" i="43"/>
  <c r="AE33" i="43"/>
  <c r="AE38" i="43"/>
  <c r="AE43" i="43"/>
  <c r="AE50" i="43"/>
  <c r="AE7" i="43"/>
  <c r="AD8" i="43"/>
  <c r="AD9" i="43"/>
  <c r="AD10" i="43"/>
  <c r="AD13" i="43"/>
  <c r="AD19" i="43"/>
  <c r="AD21" i="43"/>
  <c r="AD25" i="43"/>
  <c r="AD26" i="43"/>
  <c r="AD27" i="43"/>
  <c r="AD28" i="43"/>
  <c r="AD29" i="43"/>
  <c r="AD30" i="43"/>
  <c r="AD31" i="43"/>
  <c r="AD32" i="43"/>
  <c r="AD33" i="43"/>
  <c r="AD38" i="43"/>
  <c r="AD43" i="43"/>
  <c r="AD50" i="43"/>
  <c r="AD7" i="43"/>
  <c r="AC8" i="43"/>
  <c r="AC9" i="43"/>
  <c r="AC10" i="43"/>
  <c r="AC13" i="43"/>
  <c r="AC19" i="43"/>
  <c r="AC21" i="43"/>
  <c r="AC25" i="43"/>
  <c r="AC26" i="43"/>
  <c r="AC27" i="43"/>
  <c r="AC28" i="43"/>
  <c r="AC29" i="43"/>
  <c r="AC30" i="43"/>
  <c r="AC31" i="43"/>
  <c r="AC32" i="43"/>
  <c r="AC33" i="43"/>
  <c r="AC38" i="43"/>
  <c r="AC43" i="43"/>
  <c r="AC50" i="43"/>
  <c r="AC7" i="43"/>
  <c r="AB8" i="43"/>
  <c r="AB9" i="43"/>
  <c r="AB10" i="43"/>
  <c r="AB13" i="43"/>
  <c r="AB19" i="43"/>
  <c r="AB21" i="43"/>
  <c r="AB25" i="43"/>
  <c r="AB26" i="43"/>
  <c r="AB27" i="43"/>
  <c r="AB28" i="43"/>
  <c r="AB29" i="43"/>
  <c r="AB30" i="43"/>
  <c r="AB31" i="43"/>
  <c r="AB32" i="43"/>
  <c r="AB33" i="43"/>
  <c r="AB38" i="43"/>
  <c r="AB43" i="43"/>
  <c r="AB50" i="43"/>
  <c r="AB7" i="43"/>
  <c r="AA8" i="43"/>
  <c r="AA9" i="43"/>
  <c r="AA10" i="43"/>
  <c r="AA13" i="43"/>
  <c r="AA19" i="43"/>
  <c r="AA21" i="43"/>
  <c r="AA25" i="43"/>
  <c r="AA26" i="43"/>
  <c r="AA27" i="43"/>
  <c r="AA28" i="43"/>
  <c r="AA29" i="43"/>
  <c r="AA30" i="43"/>
  <c r="AA31" i="43"/>
  <c r="AA32" i="43"/>
  <c r="AA33" i="43"/>
  <c r="AA38" i="43"/>
  <c r="AA43" i="43"/>
  <c r="AA50" i="43"/>
  <c r="AA7" i="43"/>
  <c r="Z8" i="43" a="1"/>
  <c r="Z8" i="43" s="1"/>
  <c r="Z9" i="43" a="1"/>
  <c r="Z9" i="43" s="1"/>
  <c r="Z10" i="43" a="1"/>
  <c r="Z10" i="43" s="1"/>
  <c r="Z13" i="43" a="1"/>
  <c r="Z13" i="43" s="1"/>
  <c r="Z19" i="43" a="1"/>
  <c r="Z19" i="43" s="1"/>
  <c r="Z21" i="43" a="1"/>
  <c r="Z21" i="43" s="1"/>
  <c r="Z25" i="43" a="1"/>
  <c r="Z25" i="43" s="1"/>
  <c r="Z26" i="43" a="1"/>
  <c r="Z26" i="43" s="1"/>
  <c r="Z27" i="43" a="1"/>
  <c r="Z27" i="43" s="1"/>
  <c r="Z28" i="43" a="1"/>
  <c r="Z28" i="43" s="1"/>
  <c r="Z29" i="43" a="1"/>
  <c r="Z29" i="43" s="1"/>
  <c r="Z30" i="43" a="1"/>
  <c r="Z30" i="43" s="1"/>
  <c r="Z31" i="43" a="1"/>
  <c r="Z31" i="43" s="1"/>
  <c r="Z32" i="43" a="1"/>
  <c r="Z32" i="43" s="1"/>
  <c r="Z33" i="43" a="1"/>
  <c r="Z33" i="43" s="1"/>
  <c r="Z38" i="43" a="1"/>
  <c r="Z38" i="43" s="1"/>
  <c r="Z43" i="43" a="1"/>
  <c r="Z43" i="43" s="1"/>
  <c r="Z50" i="43" a="1"/>
  <c r="Z50" i="43" s="1"/>
  <c r="Z7" i="43" a="1"/>
  <c r="Z7" i="43" s="1"/>
  <c r="Y8" i="43"/>
  <c r="Y9" i="43"/>
  <c r="Y10" i="43"/>
  <c r="Y13" i="43"/>
  <c r="Y19" i="43"/>
  <c r="Y21" i="43"/>
  <c r="Y25" i="43"/>
  <c r="Y26" i="43"/>
  <c r="Y27" i="43"/>
  <c r="Y28" i="43"/>
  <c r="Y29" i="43"/>
  <c r="Y30" i="43"/>
  <c r="Y31" i="43"/>
  <c r="Y32" i="43"/>
  <c r="Y33" i="43"/>
  <c r="Y38" i="43"/>
  <c r="Y43" i="43"/>
  <c r="Y50" i="43"/>
  <c r="Y7" i="43"/>
  <c r="X8" i="43"/>
  <c r="X9" i="43"/>
  <c r="X10" i="43"/>
  <c r="X13" i="43"/>
  <c r="X19" i="43"/>
  <c r="X21" i="43"/>
  <c r="X25" i="43"/>
  <c r="X26" i="43"/>
  <c r="X27" i="43"/>
  <c r="X28" i="43"/>
  <c r="X29" i="43"/>
  <c r="X30" i="43"/>
  <c r="X31" i="43"/>
  <c r="X32" i="43"/>
  <c r="X33" i="43"/>
  <c r="X38" i="43"/>
  <c r="X43" i="43"/>
  <c r="X50" i="43"/>
  <c r="X7" i="43"/>
  <c r="W8" i="43"/>
  <c r="W9" i="43"/>
  <c r="W10" i="43"/>
  <c r="W13" i="43"/>
  <c r="W19" i="43"/>
  <c r="W21" i="43"/>
  <c r="W25" i="43"/>
  <c r="W26" i="43"/>
  <c r="W27" i="43"/>
  <c r="W28" i="43"/>
  <c r="W29" i="43"/>
  <c r="W30" i="43"/>
  <c r="W31" i="43"/>
  <c r="W32" i="43"/>
  <c r="W33" i="43"/>
  <c r="W38" i="43"/>
  <c r="W43" i="43"/>
  <c r="W50" i="43"/>
  <c r="W7" i="43"/>
  <c r="V8" i="43"/>
  <c r="V9" i="43"/>
  <c r="V10" i="43"/>
  <c r="V13" i="43"/>
  <c r="V19" i="43"/>
  <c r="V21" i="43"/>
  <c r="V25" i="43"/>
  <c r="V26" i="43"/>
  <c r="V27" i="43"/>
  <c r="V28" i="43"/>
  <c r="V29" i="43"/>
  <c r="V30" i="43"/>
  <c r="V31" i="43"/>
  <c r="V32" i="43"/>
  <c r="V33" i="43"/>
  <c r="V38" i="43"/>
  <c r="V43" i="43"/>
  <c r="V50" i="43"/>
  <c r="V7" i="43"/>
  <c r="U8" i="43"/>
  <c r="U9" i="43"/>
  <c r="U10" i="43"/>
  <c r="U13" i="43"/>
  <c r="U19" i="43"/>
  <c r="U21" i="43"/>
  <c r="U25" i="43"/>
  <c r="U26" i="43"/>
  <c r="U27" i="43"/>
  <c r="U28" i="43"/>
  <c r="U29" i="43"/>
  <c r="U30" i="43"/>
  <c r="U31" i="43"/>
  <c r="U32" i="43"/>
  <c r="U33" i="43"/>
  <c r="U38" i="43"/>
  <c r="U43" i="43"/>
  <c r="U50" i="43"/>
  <c r="U7" i="43"/>
  <c r="T8" i="43"/>
  <c r="T9" i="43"/>
  <c r="T10" i="43"/>
  <c r="T13" i="43"/>
  <c r="T19" i="43"/>
  <c r="T21" i="43"/>
  <c r="T25" i="43"/>
  <c r="T26" i="43"/>
  <c r="T27" i="43"/>
  <c r="T28" i="43"/>
  <c r="T29" i="43"/>
  <c r="T30" i="43"/>
  <c r="T31" i="43"/>
  <c r="T32" i="43"/>
  <c r="T33" i="43"/>
  <c r="T38" i="43"/>
  <c r="T43" i="43"/>
  <c r="T50" i="43"/>
  <c r="T7" i="43"/>
  <c r="S8" i="43"/>
  <c r="S9" i="43"/>
  <c r="S10" i="43"/>
  <c r="S13" i="43"/>
  <c r="S19" i="43"/>
  <c r="S21" i="43"/>
  <c r="S25" i="43"/>
  <c r="S26" i="43"/>
  <c r="S27" i="43"/>
  <c r="S28" i="43"/>
  <c r="S29" i="43"/>
  <c r="S30" i="43"/>
  <c r="S31" i="43"/>
  <c r="S32" i="43"/>
  <c r="S33" i="43"/>
  <c r="S38" i="43"/>
  <c r="S43" i="43"/>
  <c r="S50" i="43"/>
  <c r="S7" i="43"/>
  <c r="R8" i="43"/>
  <c r="R9" i="43"/>
  <c r="R10" i="43"/>
  <c r="R13" i="43"/>
  <c r="R19" i="43"/>
  <c r="R21" i="43"/>
  <c r="R25" i="43"/>
  <c r="R26" i="43"/>
  <c r="R27" i="43"/>
  <c r="R28" i="43"/>
  <c r="R29" i="43"/>
  <c r="R30" i="43"/>
  <c r="R31" i="43"/>
  <c r="R32" i="43"/>
  <c r="R33" i="43"/>
  <c r="R38" i="43"/>
  <c r="R43" i="43"/>
  <c r="R50" i="43"/>
  <c r="R7" i="43"/>
  <c r="Q8" i="43"/>
  <c r="Q9" i="43"/>
  <c r="Q10" i="43"/>
  <c r="Q13" i="43"/>
  <c r="Q19" i="43"/>
  <c r="Q21" i="43"/>
  <c r="Q25" i="43"/>
  <c r="Q26" i="43"/>
  <c r="Q27" i="43"/>
  <c r="Q28" i="43"/>
  <c r="Q29" i="43"/>
  <c r="Q30" i="43"/>
  <c r="Q31" i="43"/>
  <c r="Q32" i="43"/>
  <c r="Q33" i="43"/>
  <c r="Q38" i="43"/>
  <c r="Q43" i="43"/>
  <c r="Q50" i="43"/>
  <c r="Q7" i="43"/>
  <c r="P8" i="43"/>
  <c r="P9" i="43"/>
  <c r="P10" i="43"/>
  <c r="P13" i="43"/>
  <c r="P19" i="43"/>
  <c r="P21" i="43"/>
  <c r="P25" i="43"/>
  <c r="P26" i="43"/>
  <c r="P27" i="43"/>
  <c r="P28" i="43"/>
  <c r="P29" i="43"/>
  <c r="P30" i="43"/>
  <c r="P31" i="43"/>
  <c r="P32" i="43"/>
  <c r="P33" i="43"/>
  <c r="P38" i="43"/>
  <c r="P43" i="43"/>
  <c r="P50" i="43"/>
  <c r="P7" i="43"/>
  <c r="O8" i="43"/>
  <c r="O9" i="43"/>
  <c r="O10" i="43"/>
  <c r="O13" i="43"/>
  <c r="O19" i="43"/>
  <c r="O21" i="43"/>
  <c r="O25" i="43"/>
  <c r="O26" i="43"/>
  <c r="O27" i="43"/>
  <c r="O28" i="43"/>
  <c r="O29" i="43"/>
  <c r="O30" i="43"/>
  <c r="O31" i="43"/>
  <c r="O32" i="43"/>
  <c r="O33" i="43"/>
  <c r="O38" i="43"/>
  <c r="O43" i="43"/>
  <c r="O50" i="43"/>
  <c r="O7" i="43"/>
  <c r="N8" i="43"/>
  <c r="N9" i="43"/>
  <c r="N10" i="43"/>
  <c r="N13" i="43"/>
  <c r="N19" i="43"/>
  <c r="N21" i="43"/>
  <c r="N25" i="43"/>
  <c r="N26" i="43"/>
  <c r="N27" i="43"/>
  <c r="N28" i="43"/>
  <c r="N29" i="43"/>
  <c r="N30" i="43"/>
  <c r="N31" i="43"/>
  <c r="N32" i="43"/>
  <c r="N33" i="43"/>
  <c r="N38" i="43"/>
  <c r="N43" i="43"/>
  <c r="N50" i="43"/>
  <c r="N7" i="43"/>
  <c r="M8" i="43"/>
  <c r="M9" i="43"/>
  <c r="M10" i="43"/>
  <c r="M13" i="43"/>
  <c r="M19" i="43"/>
  <c r="M21" i="43"/>
  <c r="M25" i="43"/>
  <c r="M26" i="43"/>
  <c r="M27" i="43"/>
  <c r="M28" i="43"/>
  <c r="M29" i="43"/>
  <c r="M30" i="43"/>
  <c r="M31" i="43"/>
  <c r="M32" i="43"/>
  <c r="M33" i="43"/>
  <c r="M38" i="43"/>
  <c r="M43" i="43"/>
  <c r="M50" i="43"/>
  <c r="M7" i="43"/>
  <c r="L8" i="43"/>
  <c r="L9" i="43"/>
  <c r="L10" i="43"/>
  <c r="L13" i="43"/>
  <c r="L19" i="43"/>
  <c r="L21" i="43"/>
  <c r="L25" i="43"/>
  <c r="L26" i="43"/>
  <c r="L27" i="43"/>
  <c r="L28" i="43"/>
  <c r="L29" i="43"/>
  <c r="L30" i="43"/>
  <c r="L31" i="43"/>
  <c r="L32" i="43"/>
  <c r="L33" i="43"/>
  <c r="L38" i="43"/>
  <c r="L43" i="43"/>
  <c r="L50" i="43"/>
  <c r="L7" i="43"/>
  <c r="K8" i="43"/>
  <c r="K9" i="43"/>
  <c r="K10" i="43"/>
  <c r="K13" i="43"/>
  <c r="K19" i="43"/>
  <c r="K21" i="43"/>
  <c r="K25" i="43"/>
  <c r="K26" i="43"/>
  <c r="K27" i="43"/>
  <c r="K28" i="43"/>
  <c r="K29" i="43"/>
  <c r="K30" i="43"/>
  <c r="K31" i="43"/>
  <c r="K32" i="43"/>
  <c r="K33" i="43"/>
  <c r="K38" i="43"/>
  <c r="K43" i="43"/>
  <c r="K50" i="43"/>
  <c r="K7" i="43"/>
  <c r="J8" i="43"/>
  <c r="J9" i="43"/>
  <c r="J10" i="43"/>
  <c r="J13" i="43"/>
  <c r="J19" i="43"/>
  <c r="J21" i="43"/>
  <c r="J25" i="43"/>
  <c r="J26" i="43"/>
  <c r="J27" i="43"/>
  <c r="J28" i="43"/>
  <c r="J29" i="43"/>
  <c r="J30" i="43"/>
  <c r="J31" i="43"/>
  <c r="J32" i="43"/>
  <c r="J33" i="43"/>
  <c r="J38" i="43"/>
  <c r="J43" i="43"/>
  <c r="J50" i="43"/>
  <c r="J7" i="43"/>
  <c r="I8" i="43"/>
  <c r="I9" i="43"/>
  <c r="I10" i="43"/>
  <c r="I13" i="43"/>
  <c r="I19" i="43"/>
  <c r="I21" i="43"/>
  <c r="I25" i="43"/>
  <c r="I26" i="43"/>
  <c r="I27" i="43"/>
  <c r="I28" i="43"/>
  <c r="I29" i="43"/>
  <c r="I30" i="43"/>
  <c r="I31" i="43"/>
  <c r="I32" i="43"/>
  <c r="I33" i="43"/>
  <c r="I38" i="43"/>
  <c r="I43" i="43"/>
  <c r="I50" i="43"/>
  <c r="I7" i="43"/>
  <c r="H8" i="43"/>
  <c r="H9" i="43"/>
  <c r="H10" i="43"/>
  <c r="H13" i="43"/>
  <c r="H19" i="43"/>
  <c r="H21" i="43"/>
  <c r="H25" i="43"/>
  <c r="H26" i="43"/>
  <c r="H27" i="43"/>
  <c r="H28" i="43"/>
  <c r="H29" i="43"/>
  <c r="H30" i="43"/>
  <c r="H31" i="43"/>
  <c r="H32" i="43"/>
  <c r="H33" i="43"/>
  <c r="H38" i="43"/>
  <c r="H43" i="43"/>
  <c r="H50" i="43"/>
  <c r="H7" i="43"/>
  <c r="G8" i="43"/>
  <c r="G9" i="43"/>
  <c r="G10" i="43"/>
  <c r="G13" i="43"/>
  <c r="G19" i="43"/>
  <c r="G21" i="43"/>
  <c r="G25" i="43"/>
  <c r="G26" i="43"/>
  <c r="G27" i="43"/>
  <c r="G28" i="43"/>
  <c r="G29" i="43"/>
  <c r="G30" i="43"/>
  <c r="G31" i="43"/>
  <c r="G32" i="43"/>
  <c r="G33" i="43"/>
  <c r="G38" i="43"/>
  <c r="G43" i="43"/>
  <c r="G50" i="43"/>
  <c r="G7" i="43"/>
  <c r="F8" i="43"/>
  <c r="F9" i="43"/>
  <c r="F10" i="43"/>
  <c r="F13" i="43"/>
  <c r="F19" i="43"/>
  <c r="F21" i="43"/>
  <c r="F25" i="43"/>
  <c r="F26" i="43"/>
  <c r="F27" i="43"/>
  <c r="F28" i="43"/>
  <c r="F29" i="43"/>
  <c r="F30" i="43"/>
  <c r="F31" i="43"/>
  <c r="F32" i="43"/>
  <c r="F33" i="43"/>
  <c r="F38" i="43"/>
  <c r="F43" i="43"/>
  <c r="F50" i="43"/>
  <c r="F7" i="43"/>
  <c r="E8" i="43"/>
  <c r="E9" i="43"/>
  <c r="E10" i="43"/>
  <c r="E13" i="43"/>
  <c r="E19" i="43"/>
  <c r="E21" i="43"/>
  <c r="E25" i="43"/>
  <c r="E26" i="43"/>
  <c r="E27" i="43"/>
  <c r="E28" i="43"/>
  <c r="E29" i="43"/>
  <c r="E30" i="43"/>
  <c r="E31" i="43"/>
  <c r="E32" i="43"/>
  <c r="E33" i="43"/>
  <c r="E38" i="43"/>
  <c r="E43" i="43"/>
  <c r="E50" i="43"/>
  <c r="E7" i="43"/>
  <c r="D8" i="43"/>
  <c r="D9" i="43"/>
  <c r="D10" i="43"/>
  <c r="D13" i="43"/>
  <c r="D19" i="43"/>
  <c r="D21" i="43"/>
  <c r="D25" i="43"/>
  <c r="D26" i="43"/>
  <c r="D27" i="43"/>
  <c r="D28" i="43"/>
  <c r="D29" i="43"/>
  <c r="D30" i="43"/>
  <c r="D31" i="43"/>
  <c r="D32" i="43"/>
  <c r="D33" i="43"/>
  <c r="D38" i="43"/>
  <c r="D43" i="43"/>
  <c r="D50" i="43"/>
  <c r="D7" i="43"/>
  <c r="C8" i="43"/>
  <c r="C9" i="43"/>
  <c r="C10" i="43"/>
  <c r="C13" i="43"/>
  <c r="C19" i="43"/>
  <c r="C21" i="43"/>
  <c r="C25" i="43"/>
  <c r="C26" i="43"/>
  <c r="C27" i="43"/>
  <c r="C28" i="43"/>
  <c r="C29" i="43"/>
  <c r="C30" i="43"/>
  <c r="C31" i="43"/>
  <c r="C32" i="43"/>
  <c r="C33" i="43"/>
  <c r="C38" i="43"/>
  <c r="C43" i="43"/>
  <c r="C50" i="43"/>
  <c r="C7" i="43"/>
  <c r="C8" i="13"/>
  <c r="C9" i="13"/>
  <c r="C10" i="13"/>
  <c r="C11" i="13"/>
  <c r="C12" i="13"/>
  <c r="C13" i="13"/>
  <c r="C14" i="13"/>
  <c r="C15" i="13"/>
  <c r="C16" i="13"/>
  <c r="C17" i="13"/>
  <c r="C18" i="13"/>
  <c r="C19" i="13"/>
  <c r="C20" i="13"/>
  <c r="C21" i="13"/>
  <c r="C22" i="13"/>
  <c r="C23" i="13"/>
  <c r="C24" i="13"/>
  <c r="C25" i="13"/>
  <c r="C26" i="13"/>
  <c r="C27" i="13"/>
  <c r="C28" i="13"/>
  <c r="C29" i="13"/>
  <c r="C30" i="13"/>
  <c r="C31" i="13"/>
  <c r="C32" i="13"/>
  <c r="C33" i="13"/>
  <c r="C34" i="13"/>
  <c r="C35" i="13"/>
  <c r="C36" i="13"/>
  <c r="C37" i="13"/>
  <c r="C38" i="13"/>
  <c r="C39" i="13"/>
  <c r="C40" i="13"/>
  <c r="C41" i="13"/>
  <c r="C42" i="13"/>
  <c r="C43" i="13"/>
  <c r="C44" i="13"/>
  <c r="C45" i="13"/>
  <c r="C46" i="13"/>
  <c r="C47" i="13"/>
  <c r="C48" i="13"/>
  <c r="C49" i="13"/>
  <c r="C50" i="13"/>
  <c r="C51" i="13"/>
  <c r="C52" i="13"/>
  <c r="C53" i="13"/>
  <c r="C54" i="13"/>
  <c r="C55" i="13"/>
  <c r="C56" i="13"/>
  <c r="C57" i="13"/>
  <c r="C58" i="13"/>
  <c r="C59" i="13"/>
  <c r="C60" i="13"/>
  <c r="C61" i="13"/>
  <c r="C7" i="13"/>
  <c r="J12" i="1" l="1"/>
  <c r="D8" i="104"/>
  <c r="D9" i="104"/>
  <c r="D7" i="104"/>
  <c r="C8" i="104"/>
  <c r="C9" i="104"/>
  <c r="C7" i="104"/>
  <c r="F8" i="98" l="1"/>
  <c r="F9" i="98"/>
  <c r="F10" i="98"/>
  <c r="F11" i="98"/>
  <c r="F12" i="98"/>
  <c r="F13" i="98"/>
  <c r="F14" i="98"/>
  <c r="H14" i="98" s="1"/>
  <c r="F15" i="98"/>
  <c r="F16" i="98"/>
  <c r="F17" i="98"/>
  <c r="F18" i="98"/>
  <c r="F19" i="98"/>
  <c r="F20" i="98"/>
  <c r="F21" i="98"/>
  <c r="F22" i="98"/>
  <c r="F23" i="98"/>
  <c r="F24" i="98"/>
  <c r="F25" i="98"/>
  <c r="F26" i="98"/>
  <c r="F27" i="98"/>
  <c r="F28" i="98"/>
  <c r="F29" i="98"/>
  <c r="F30" i="98"/>
  <c r="F31" i="98"/>
  <c r="F32" i="98"/>
  <c r="F33" i="98"/>
  <c r="F34" i="98"/>
  <c r="F35" i="98"/>
  <c r="F36" i="98"/>
  <c r="F37" i="98"/>
  <c r="F38" i="98"/>
  <c r="F39" i="98"/>
  <c r="F40" i="98"/>
  <c r="F41" i="98"/>
  <c r="F42" i="98"/>
  <c r="F43" i="98"/>
  <c r="F44" i="98"/>
  <c r="F45" i="98"/>
  <c r="F46" i="98"/>
  <c r="F47" i="98"/>
  <c r="F48" i="98"/>
  <c r="F49" i="98"/>
  <c r="F50" i="98"/>
  <c r="F51" i="98"/>
  <c r="F52" i="98"/>
  <c r="F53" i="98"/>
  <c r="F54" i="98"/>
  <c r="F55" i="98"/>
  <c r="F56" i="98"/>
  <c r="F57" i="98"/>
  <c r="F58" i="98"/>
  <c r="F59" i="98"/>
  <c r="F60" i="98"/>
  <c r="F61" i="98"/>
  <c r="F62" i="98"/>
  <c r="F63" i="98"/>
  <c r="F64" i="98"/>
  <c r="F65" i="98"/>
  <c r="F66" i="98"/>
  <c r="F67" i="98"/>
  <c r="F68" i="98"/>
  <c r="F69" i="98"/>
  <c r="F70" i="98"/>
  <c r="F71" i="98"/>
  <c r="F72" i="98"/>
  <c r="F73" i="98"/>
  <c r="F74" i="98"/>
  <c r="F75" i="98"/>
  <c r="F76" i="98"/>
  <c r="F77" i="98"/>
  <c r="F78" i="98"/>
  <c r="F79" i="98"/>
  <c r="F80" i="98"/>
  <c r="F81" i="98"/>
  <c r="F82" i="98"/>
  <c r="F83" i="98"/>
  <c r="F84" i="98"/>
  <c r="F85" i="98"/>
  <c r="F86" i="98"/>
  <c r="F87" i="98"/>
  <c r="F88" i="98"/>
  <c r="F89" i="98"/>
  <c r="F90" i="98"/>
  <c r="F91" i="98"/>
  <c r="F92" i="98"/>
  <c r="F93" i="98"/>
  <c r="F94" i="98"/>
  <c r="F95" i="98"/>
  <c r="F96" i="98"/>
  <c r="F97" i="98"/>
  <c r="F98" i="98"/>
  <c r="F99" i="98"/>
  <c r="F100" i="98"/>
  <c r="F101" i="98"/>
  <c r="F102" i="98"/>
  <c r="F103" i="98"/>
  <c r="F104" i="98"/>
  <c r="F105" i="98"/>
  <c r="F106" i="98"/>
  <c r="F107" i="98"/>
  <c r="F108" i="98"/>
  <c r="F109" i="98"/>
  <c r="F110" i="98"/>
  <c r="F111" i="98"/>
  <c r="F7" i="98"/>
  <c r="E8" i="98"/>
  <c r="E9" i="98"/>
  <c r="E10" i="98"/>
  <c r="E11" i="98"/>
  <c r="E12" i="98"/>
  <c r="E13" i="98"/>
  <c r="E14" i="98"/>
  <c r="E15" i="98"/>
  <c r="E16" i="98"/>
  <c r="E17" i="98"/>
  <c r="E18" i="98"/>
  <c r="E19" i="98"/>
  <c r="E20" i="98"/>
  <c r="E21" i="98"/>
  <c r="E22" i="98"/>
  <c r="E23" i="98"/>
  <c r="E24" i="98"/>
  <c r="E25" i="98"/>
  <c r="E26" i="98"/>
  <c r="E27" i="98"/>
  <c r="E28" i="98"/>
  <c r="E29" i="98"/>
  <c r="E30" i="98"/>
  <c r="E31" i="98"/>
  <c r="E32" i="98"/>
  <c r="E33" i="98"/>
  <c r="E34" i="98"/>
  <c r="E35" i="98"/>
  <c r="E36" i="98"/>
  <c r="E37" i="98"/>
  <c r="E38" i="98"/>
  <c r="E39" i="98"/>
  <c r="E40" i="98"/>
  <c r="E41" i="98"/>
  <c r="E42" i="98"/>
  <c r="E43" i="98"/>
  <c r="E44" i="98"/>
  <c r="E45" i="98"/>
  <c r="E46" i="98"/>
  <c r="E47" i="98"/>
  <c r="E48" i="98"/>
  <c r="E49" i="98"/>
  <c r="E50" i="98"/>
  <c r="E51" i="98"/>
  <c r="E52" i="98"/>
  <c r="E53" i="98"/>
  <c r="E54" i="98"/>
  <c r="E55" i="98"/>
  <c r="E56" i="98"/>
  <c r="E57" i="98"/>
  <c r="E58" i="98"/>
  <c r="E59" i="98"/>
  <c r="E60" i="98"/>
  <c r="E61" i="98"/>
  <c r="E62" i="98"/>
  <c r="E63" i="98"/>
  <c r="E64" i="98"/>
  <c r="E65" i="98"/>
  <c r="E66" i="98"/>
  <c r="E67" i="98"/>
  <c r="E68" i="98"/>
  <c r="E69" i="98"/>
  <c r="E70" i="98"/>
  <c r="E71" i="98"/>
  <c r="E72" i="98"/>
  <c r="E73" i="98"/>
  <c r="E74" i="98"/>
  <c r="E75" i="98"/>
  <c r="E76" i="98"/>
  <c r="E77" i="98"/>
  <c r="E78" i="98"/>
  <c r="E79" i="98"/>
  <c r="E80" i="98"/>
  <c r="E81" i="98"/>
  <c r="E82" i="98"/>
  <c r="E83" i="98"/>
  <c r="E84" i="98"/>
  <c r="E85" i="98"/>
  <c r="E86" i="98"/>
  <c r="E87" i="98"/>
  <c r="E88" i="98"/>
  <c r="E89" i="98"/>
  <c r="E90" i="98"/>
  <c r="E91" i="98"/>
  <c r="E92" i="98"/>
  <c r="E93" i="98"/>
  <c r="E94" i="98"/>
  <c r="E95" i="98"/>
  <c r="E96" i="98"/>
  <c r="E97" i="98"/>
  <c r="E98" i="98"/>
  <c r="E99" i="98"/>
  <c r="E100" i="98"/>
  <c r="E101" i="98"/>
  <c r="E102" i="98"/>
  <c r="E103" i="98"/>
  <c r="E104" i="98"/>
  <c r="E105" i="98"/>
  <c r="E106" i="98"/>
  <c r="E107" i="98"/>
  <c r="E108" i="98"/>
  <c r="E109" i="98"/>
  <c r="E110" i="98"/>
  <c r="E111" i="98"/>
  <c r="E7" i="98"/>
  <c r="C8" i="98"/>
  <c r="C9" i="98"/>
  <c r="C10" i="98"/>
  <c r="C11" i="98"/>
  <c r="C12" i="98"/>
  <c r="C13" i="98"/>
  <c r="C14" i="98"/>
  <c r="C15" i="98"/>
  <c r="C16" i="98"/>
  <c r="C17" i="98"/>
  <c r="C18" i="98"/>
  <c r="C19" i="98"/>
  <c r="C20" i="98"/>
  <c r="C21" i="98"/>
  <c r="C22" i="98"/>
  <c r="C23" i="98"/>
  <c r="C24" i="98"/>
  <c r="C25" i="98"/>
  <c r="C26" i="98"/>
  <c r="C27" i="98"/>
  <c r="C28" i="98"/>
  <c r="C29" i="98"/>
  <c r="C30" i="98"/>
  <c r="C31" i="98"/>
  <c r="C32" i="98"/>
  <c r="C33" i="98"/>
  <c r="C34" i="98"/>
  <c r="C35" i="98"/>
  <c r="C36" i="98"/>
  <c r="C37" i="98"/>
  <c r="C38" i="98"/>
  <c r="C39" i="98"/>
  <c r="C40" i="98"/>
  <c r="C41" i="98"/>
  <c r="C42" i="98"/>
  <c r="C43" i="98"/>
  <c r="C44" i="98"/>
  <c r="C45" i="98"/>
  <c r="C46" i="98"/>
  <c r="C47" i="98"/>
  <c r="C48" i="98"/>
  <c r="C49" i="98"/>
  <c r="C50" i="98"/>
  <c r="C51" i="98"/>
  <c r="C52" i="98"/>
  <c r="C53" i="98"/>
  <c r="C54" i="98"/>
  <c r="C55" i="98"/>
  <c r="C56" i="98"/>
  <c r="C57" i="98"/>
  <c r="C58" i="98"/>
  <c r="C59" i="98"/>
  <c r="C60" i="98"/>
  <c r="C61" i="98"/>
  <c r="C62" i="98"/>
  <c r="C63" i="98"/>
  <c r="C64" i="98"/>
  <c r="C65" i="98"/>
  <c r="C66" i="98"/>
  <c r="C67" i="98"/>
  <c r="C68" i="98"/>
  <c r="C69" i="98"/>
  <c r="C70" i="98"/>
  <c r="C71" i="98"/>
  <c r="C72" i="98"/>
  <c r="C73" i="98"/>
  <c r="C74" i="98"/>
  <c r="C75" i="98"/>
  <c r="C76" i="98"/>
  <c r="C77" i="98"/>
  <c r="C78" i="98"/>
  <c r="C79" i="98"/>
  <c r="C80" i="98"/>
  <c r="C81" i="98"/>
  <c r="C82" i="98"/>
  <c r="C83" i="98"/>
  <c r="C84" i="98"/>
  <c r="C85" i="98"/>
  <c r="C86" i="98"/>
  <c r="C87" i="98"/>
  <c r="C88" i="98"/>
  <c r="C89" i="98"/>
  <c r="C90" i="98"/>
  <c r="C91" i="98"/>
  <c r="C92" i="98"/>
  <c r="C93" i="98"/>
  <c r="C94" i="98"/>
  <c r="C95" i="98"/>
  <c r="C96" i="98"/>
  <c r="C97" i="98"/>
  <c r="C98" i="98"/>
  <c r="C99" i="98"/>
  <c r="C100" i="98"/>
  <c r="C101" i="98"/>
  <c r="C102" i="98"/>
  <c r="C103" i="98"/>
  <c r="C104" i="98"/>
  <c r="C105" i="98"/>
  <c r="C106" i="98"/>
  <c r="C107" i="98"/>
  <c r="C108" i="98"/>
  <c r="C109" i="98"/>
  <c r="C110" i="98"/>
  <c r="C111" i="98"/>
  <c r="C7" i="98"/>
  <c r="I27" i="108" l="1"/>
  <c r="H27" i="108"/>
  <c r="G27" i="108"/>
  <c r="D8" i="103"/>
  <c r="D9" i="103"/>
  <c r="D10" i="103"/>
  <c r="D11" i="103"/>
  <c r="D12" i="103"/>
  <c r="D13" i="103"/>
  <c r="D14" i="103"/>
  <c r="D15" i="103"/>
  <c r="D16" i="103"/>
  <c r="D17" i="103"/>
  <c r="D18" i="103"/>
  <c r="D19" i="103"/>
  <c r="D20" i="103"/>
  <c r="D21" i="103"/>
  <c r="D22" i="103"/>
  <c r="D23" i="103"/>
  <c r="D24" i="103"/>
  <c r="D25" i="103"/>
  <c r="D26" i="103"/>
  <c r="D27" i="103"/>
  <c r="D28" i="103"/>
  <c r="D29" i="103"/>
  <c r="D30" i="103"/>
  <c r="D31" i="103"/>
  <c r="D32" i="103"/>
  <c r="D33" i="103"/>
  <c r="D34" i="103"/>
  <c r="D35" i="103"/>
  <c r="D36" i="103"/>
  <c r="D37" i="103"/>
  <c r="D38" i="103"/>
  <c r="D39" i="103"/>
  <c r="D40" i="103"/>
  <c r="D41" i="103"/>
  <c r="D42" i="103"/>
  <c r="D43" i="103"/>
  <c r="D44" i="103"/>
  <c r="D45" i="103"/>
  <c r="D46" i="103"/>
  <c r="D47" i="103"/>
  <c r="D48" i="103"/>
  <c r="D49" i="103"/>
  <c r="D50" i="103"/>
  <c r="D51" i="103"/>
  <c r="D52" i="103"/>
  <c r="D53" i="103"/>
  <c r="D54" i="103"/>
  <c r="D55" i="103"/>
  <c r="D56" i="103"/>
  <c r="D57" i="103"/>
  <c r="D58" i="103"/>
  <c r="D59" i="103"/>
  <c r="D60" i="103"/>
  <c r="D61" i="103"/>
  <c r="D7" i="103"/>
  <c r="C8" i="103"/>
  <c r="C9" i="103"/>
  <c r="C10" i="103"/>
  <c r="C11" i="103"/>
  <c r="C12" i="103"/>
  <c r="C13" i="103"/>
  <c r="C14" i="103"/>
  <c r="C15" i="103"/>
  <c r="C16" i="103"/>
  <c r="C17" i="103"/>
  <c r="C18" i="103"/>
  <c r="C19" i="103"/>
  <c r="C20" i="103"/>
  <c r="C21" i="103"/>
  <c r="C22" i="103"/>
  <c r="C23" i="103"/>
  <c r="C24" i="103"/>
  <c r="C25" i="103"/>
  <c r="C26" i="103"/>
  <c r="C27" i="103"/>
  <c r="C28" i="103"/>
  <c r="C29" i="103"/>
  <c r="C30" i="103"/>
  <c r="C31" i="103"/>
  <c r="C32" i="103"/>
  <c r="C33" i="103"/>
  <c r="C34" i="103"/>
  <c r="C35" i="103"/>
  <c r="C36" i="103"/>
  <c r="C37" i="103"/>
  <c r="C38" i="103"/>
  <c r="C39" i="103"/>
  <c r="C40" i="103"/>
  <c r="C41" i="103"/>
  <c r="C42" i="103"/>
  <c r="C43" i="103"/>
  <c r="C44" i="103"/>
  <c r="C45" i="103"/>
  <c r="C46" i="103"/>
  <c r="C47" i="103"/>
  <c r="C48" i="103"/>
  <c r="C49" i="103"/>
  <c r="C50" i="103"/>
  <c r="C51" i="103"/>
  <c r="C52" i="103"/>
  <c r="C53" i="103"/>
  <c r="C54" i="103"/>
  <c r="C55" i="103"/>
  <c r="C56" i="103"/>
  <c r="C57" i="103"/>
  <c r="C58" i="103"/>
  <c r="C59" i="103"/>
  <c r="C60" i="103"/>
  <c r="C61" i="103"/>
  <c r="C7" i="103"/>
  <c r="H7" i="98"/>
  <c r="G7" i="98"/>
  <c r="E12" i="103" l="1"/>
  <c r="E52" i="103"/>
  <c r="E40" i="103"/>
  <c r="E16" i="103"/>
  <c r="E55" i="103"/>
  <c r="E42" i="103"/>
  <c r="E18" i="103"/>
  <c r="E54" i="103"/>
  <c r="E41" i="103"/>
  <c r="E17" i="103"/>
  <c r="E39" i="103"/>
  <c r="E15" i="103"/>
  <c r="E14" i="103"/>
  <c r="E51" i="103"/>
  <c r="E61" i="103"/>
  <c r="E49" i="103"/>
  <c r="E37" i="103"/>
  <c r="E53" i="103"/>
  <c r="E60" i="103"/>
  <c r="E48" i="103"/>
  <c r="E36" i="103"/>
  <c r="E24" i="103"/>
  <c r="E59" i="103"/>
  <c r="E47" i="103"/>
  <c r="E35" i="103"/>
  <c r="E23" i="103"/>
  <c r="E11" i="103"/>
  <c r="E58" i="103"/>
  <c r="E46" i="103"/>
  <c r="E34" i="103"/>
  <c r="E22" i="103"/>
  <c r="E57" i="103"/>
  <c r="E45" i="103"/>
  <c r="E56" i="103"/>
  <c r="E44" i="103"/>
  <c r="E20" i="103"/>
  <c r="I11" i="103" s="1"/>
  <c r="I116" i="8"/>
  <c r="D116" i="8"/>
  <c r="C116" i="8"/>
  <c r="I113" i="8"/>
  <c r="I114" i="8"/>
  <c r="I115" i="8"/>
  <c r="I117" i="8"/>
  <c r="I118" i="8"/>
  <c r="I119" i="8"/>
  <c r="I120" i="8"/>
  <c r="I121" i="8"/>
  <c r="I122" i="8"/>
  <c r="I123" i="8"/>
  <c r="I124" i="8"/>
  <c r="I112" i="8"/>
  <c r="I8" i="8"/>
  <c r="I9" i="8"/>
  <c r="I10" i="8"/>
  <c r="I11" i="8"/>
  <c r="I12" i="8"/>
  <c r="I13" i="8"/>
  <c r="I14" i="8"/>
  <c r="I15" i="8"/>
  <c r="I16" i="8"/>
  <c r="I17" i="8"/>
  <c r="I18" i="8"/>
  <c r="I19" i="8"/>
  <c r="I20" i="8"/>
  <c r="I21" i="8"/>
  <c r="I22" i="8"/>
  <c r="I23" i="8"/>
  <c r="I24" i="8"/>
  <c r="I25" i="8"/>
  <c r="I26" i="8"/>
  <c r="I27" i="8"/>
  <c r="I28" i="8"/>
  <c r="I29" i="8"/>
  <c r="I30" i="8"/>
  <c r="I31" i="8"/>
  <c r="I32" i="8"/>
  <c r="I33" i="8"/>
  <c r="I34" i="8"/>
  <c r="I35" i="8"/>
  <c r="I36" i="8"/>
  <c r="I37" i="8"/>
  <c r="I38" i="8"/>
  <c r="I39" i="8"/>
  <c r="I40" i="8"/>
  <c r="I41" i="8"/>
  <c r="I42" i="8"/>
  <c r="I43" i="8"/>
  <c r="I44" i="8"/>
  <c r="I45" i="8"/>
  <c r="I46" i="8"/>
  <c r="I47" i="8"/>
  <c r="I48" i="8"/>
  <c r="I49" i="8"/>
  <c r="I50" i="8"/>
  <c r="I51" i="8"/>
  <c r="I52" i="8"/>
  <c r="I53" i="8"/>
  <c r="I54" i="8"/>
  <c r="I55" i="8"/>
  <c r="I56" i="8"/>
  <c r="I57" i="8"/>
  <c r="I58" i="8"/>
  <c r="I59" i="8"/>
  <c r="I60" i="8"/>
  <c r="I61" i="8"/>
  <c r="I62" i="8"/>
  <c r="I63" i="8"/>
  <c r="I64" i="8"/>
  <c r="I65" i="8"/>
  <c r="I66" i="8"/>
  <c r="I67" i="8"/>
  <c r="I68" i="8"/>
  <c r="I69" i="8"/>
  <c r="I70" i="8"/>
  <c r="I71" i="8"/>
  <c r="I72" i="8"/>
  <c r="I73" i="8"/>
  <c r="I74" i="8"/>
  <c r="I75" i="8"/>
  <c r="I76" i="8"/>
  <c r="I77" i="8"/>
  <c r="I78" i="8"/>
  <c r="I79" i="8"/>
  <c r="I80" i="8"/>
  <c r="I81" i="8"/>
  <c r="I82" i="8"/>
  <c r="I83" i="8"/>
  <c r="I84" i="8"/>
  <c r="I85" i="8"/>
  <c r="I86" i="8"/>
  <c r="I87" i="8"/>
  <c r="I88" i="8"/>
  <c r="I89" i="8"/>
  <c r="I90" i="8"/>
  <c r="I91" i="8"/>
  <c r="I92" i="8"/>
  <c r="I93" i="8"/>
  <c r="I94" i="8"/>
  <c r="I95" i="8"/>
  <c r="I96" i="8"/>
  <c r="I97" i="8"/>
  <c r="I98" i="8"/>
  <c r="I99" i="8"/>
  <c r="I100" i="8"/>
  <c r="I101" i="8"/>
  <c r="I102" i="8"/>
  <c r="I103" i="8"/>
  <c r="I104" i="8"/>
  <c r="I105" i="8"/>
  <c r="I106" i="8"/>
  <c r="I107" i="8"/>
  <c r="I7" i="8"/>
  <c r="I8" i="103" l="1"/>
  <c r="I21" i="103"/>
  <c r="I19" i="103"/>
  <c r="I24" i="103"/>
  <c r="I10" i="103"/>
  <c r="I12" i="103"/>
  <c r="I16" i="103"/>
  <c r="I20" i="103"/>
  <c r="I17" i="103"/>
  <c r="I23" i="103"/>
  <c r="I18" i="103"/>
  <c r="I22" i="103"/>
  <c r="I9" i="103"/>
  <c r="C22" i="60"/>
  <c r="D22" i="60"/>
  <c r="H8" i="98"/>
  <c r="G107" i="98"/>
  <c r="H107" i="98"/>
  <c r="G108" i="98"/>
  <c r="H108" i="98"/>
  <c r="G109" i="98"/>
  <c r="H109" i="98"/>
  <c r="G110" i="98"/>
  <c r="H110" i="98"/>
  <c r="G111" i="98"/>
  <c r="H111" i="98"/>
  <c r="H106" i="98"/>
  <c r="G106" i="98"/>
  <c r="H105" i="98"/>
  <c r="G105" i="98"/>
  <c r="H104" i="98"/>
  <c r="G104" i="98"/>
  <c r="H103" i="98"/>
  <c r="G103" i="98"/>
  <c r="H102" i="98"/>
  <c r="G102" i="98"/>
  <c r="H101" i="98"/>
  <c r="G101" i="98"/>
  <c r="H100" i="98"/>
  <c r="G100" i="98"/>
  <c r="H99" i="98"/>
  <c r="G99" i="98"/>
  <c r="H98" i="98"/>
  <c r="G98" i="98"/>
  <c r="H97" i="98"/>
  <c r="G97" i="98"/>
  <c r="H96" i="98"/>
  <c r="G96" i="98"/>
  <c r="H95" i="98"/>
  <c r="G95" i="98"/>
  <c r="H94" i="98"/>
  <c r="G94" i="98"/>
  <c r="H93" i="98"/>
  <c r="G93" i="98"/>
  <c r="H92" i="98"/>
  <c r="G92" i="98"/>
  <c r="H91" i="98"/>
  <c r="G91" i="98"/>
  <c r="H90" i="98"/>
  <c r="G90" i="98"/>
  <c r="H89" i="98"/>
  <c r="G89" i="98"/>
  <c r="H88" i="98"/>
  <c r="G88" i="98"/>
  <c r="H87" i="98"/>
  <c r="G87" i="98"/>
  <c r="H86" i="98"/>
  <c r="G86" i="98"/>
  <c r="H85" i="98"/>
  <c r="G85" i="98"/>
  <c r="H84" i="98"/>
  <c r="G84" i="98"/>
  <c r="H83" i="98"/>
  <c r="G83" i="98"/>
  <c r="H82" i="98"/>
  <c r="G82" i="98"/>
  <c r="H81" i="98"/>
  <c r="G81" i="98"/>
  <c r="H80" i="98"/>
  <c r="G80" i="98"/>
  <c r="H79" i="98"/>
  <c r="G79" i="98"/>
  <c r="H78" i="98"/>
  <c r="G78" i="98"/>
  <c r="H77" i="98"/>
  <c r="G77" i="98"/>
  <c r="H76" i="98"/>
  <c r="G76" i="98"/>
  <c r="H75" i="98"/>
  <c r="G75" i="98"/>
  <c r="H74" i="98"/>
  <c r="G74" i="98"/>
  <c r="H73" i="98"/>
  <c r="G73" i="98"/>
  <c r="H72" i="98"/>
  <c r="G72" i="98"/>
  <c r="H71" i="98"/>
  <c r="G71" i="98"/>
  <c r="H70" i="98"/>
  <c r="G70" i="98"/>
  <c r="H69" i="98"/>
  <c r="G69" i="98"/>
  <c r="H68" i="98"/>
  <c r="G68" i="98"/>
  <c r="H67" i="98"/>
  <c r="G67" i="98"/>
  <c r="H66" i="98"/>
  <c r="G66" i="98"/>
  <c r="H65" i="98"/>
  <c r="G65" i="98"/>
  <c r="H64" i="98"/>
  <c r="G64" i="98"/>
  <c r="H63" i="98"/>
  <c r="G63" i="98"/>
  <c r="H62" i="98"/>
  <c r="G62" i="98"/>
  <c r="H61" i="98"/>
  <c r="G61" i="98"/>
  <c r="H60" i="98"/>
  <c r="G60" i="98"/>
  <c r="H59" i="98"/>
  <c r="G59" i="98"/>
  <c r="H58" i="98"/>
  <c r="G58" i="98"/>
  <c r="H57" i="98"/>
  <c r="G57" i="98"/>
  <c r="H56" i="98"/>
  <c r="G56" i="98"/>
  <c r="H55" i="98"/>
  <c r="G55" i="98"/>
  <c r="H54" i="98"/>
  <c r="G54" i="98"/>
  <c r="H53" i="98"/>
  <c r="G53" i="98"/>
  <c r="H52" i="98"/>
  <c r="G52" i="98"/>
  <c r="H51" i="98"/>
  <c r="G51" i="98"/>
  <c r="H50" i="98"/>
  <c r="G50" i="98"/>
  <c r="H49" i="98"/>
  <c r="G49" i="98"/>
  <c r="H48" i="98"/>
  <c r="G48" i="98"/>
  <c r="H47" i="98"/>
  <c r="G47" i="98"/>
  <c r="H46" i="98"/>
  <c r="G46" i="98"/>
  <c r="H45" i="98"/>
  <c r="G45" i="98"/>
  <c r="H44" i="98"/>
  <c r="G44" i="98"/>
  <c r="H43" i="98"/>
  <c r="G43" i="98"/>
  <c r="H42" i="98"/>
  <c r="G42" i="98"/>
  <c r="H41" i="98"/>
  <c r="G41" i="98"/>
  <c r="H40" i="98"/>
  <c r="G40" i="98"/>
  <c r="H39" i="98"/>
  <c r="G39" i="98"/>
  <c r="H38" i="98"/>
  <c r="G38" i="98"/>
  <c r="H37" i="98"/>
  <c r="G37" i="98"/>
  <c r="H36" i="98"/>
  <c r="G36" i="98"/>
  <c r="H35" i="98"/>
  <c r="G35" i="98"/>
  <c r="H34" i="98"/>
  <c r="G34" i="98"/>
  <c r="H33" i="98"/>
  <c r="G33" i="98"/>
  <c r="H32" i="98"/>
  <c r="G32" i="98"/>
  <c r="H31" i="98"/>
  <c r="G31" i="98"/>
  <c r="H30" i="98"/>
  <c r="G30" i="98"/>
  <c r="H29" i="98"/>
  <c r="G29" i="98"/>
  <c r="H28" i="98"/>
  <c r="G28" i="98"/>
  <c r="H27" i="98"/>
  <c r="G27" i="98"/>
  <c r="H26" i="98"/>
  <c r="G26" i="98"/>
  <c r="H25" i="98"/>
  <c r="G25" i="98"/>
  <c r="H24" i="98"/>
  <c r="G24" i="98"/>
  <c r="H23" i="98"/>
  <c r="G23" i="98"/>
  <c r="H22" i="98"/>
  <c r="G22" i="98"/>
  <c r="H21" i="98"/>
  <c r="G21" i="98"/>
  <c r="H20" i="98"/>
  <c r="G20" i="98"/>
  <c r="H19" i="98"/>
  <c r="G19" i="98"/>
  <c r="H18" i="98"/>
  <c r="G18" i="98"/>
  <c r="H17" i="98"/>
  <c r="G17" i="98"/>
  <c r="H16" i="98"/>
  <c r="G16" i="98"/>
  <c r="H15" i="98"/>
  <c r="G15" i="98"/>
  <c r="G14" i="98"/>
  <c r="H13" i="98"/>
  <c r="G13" i="98"/>
  <c r="H12" i="98"/>
  <c r="G12" i="98"/>
  <c r="H11" i="98"/>
  <c r="G11" i="98"/>
  <c r="H10" i="98"/>
  <c r="G10" i="98"/>
  <c r="H9" i="98"/>
  <c r="G9" i="98"/>
  <c r="G8" i="98"/>
  <c r="C89" i="8"/>
  <c r="D89" i="8"/>
  <c r="C90" i="8"/>
  <c r="D90" i="8"/>
  <c r="C91" i="8"/>
  <c r="D91" i="8"/>
  <c r="C92" i="8"/>
  <c r="D92" i="8"/>
  <c r="C93" i="8"/>
  <c r="D93" i="8"/>
  <c r="C94" i="8"/>
  <c r="D94" i="8"/>
  <c r="C95" i="8"/>
  <c r="D95" i="8"/>
  <c r="C96" i="8"/>
  <c r="D96" i="8"/>
  <c r="C97" i="8"/>
  <c r="D97" i="8"/>
  <c r="C98" i="8"/>
  <c r="D98" i="8"/>
  <c r="C99" i="8"/>
  <c r="D99" i="8"/>
  <c r="C100" i="8"/>
  <c r="D100" i="8"/>
  <c r="C101" i="8"/>
  <c r="D101" i="8"/>
  <c r="C102" i="8"/>
  <c r="D102" i="8"/>
  <c r="C103" i="8"/>
  <c r="D103" i="8"/>
  <c r="C104" i="8"/>
  <c r="D104" i="8"/>
  <c r="C105" i="8"/>
  <c r="D105" i="8"/>
  <c r="C106" i="8"/>
  <c r="D106" i="8"/>
  <c r="C107" i="8"/>
  <c r="D107" i="8"/>
  <c r="N10" i="98" l="1"/>
  <c r="N12" i="98"/>
  <c r="N9" i="98"/>
  <c r="N19" i="98"/>
  <c r="N14" i="98"/>
  <c r="M11" i="98"/>
  <c r="M18" i="98"/>
  <c r="M14" i="98"/>
  <c r="N11" i="98"/>
  <c r="N18" i="98"/>
  <c r="M13" i="98"/>
  <c r="M15" i="98"/>
  <c r="M20" i="98"/>
  <c r="N13" i="98"/>
  <c r="N15" i="98"/>
  <c r="N20" i="98"/>
  <c r="M16" i="98"/>
  <c r="M17" i="98"/>
  <c r="M9" i="98"/>
  <c r="N16" i="98"/>
  <c r="N17" i="98"/>
  <c r="M12" i="98"/>
  <c r="M19" i="98"/>
  <c r="M10" i="98"/>
  <c r="M7" i="98"/>
  <c r="M8" i="98"/>
  <c r="N8" i="98"/>
  <c r="N7" i="98"/>
  <c r="I73" i="98"/>
  <c r="I109" i="98"/>
  <c r="I34" i="98"/>
  <c r="I40" i="98"/>
  <c r="I46" i="98"/>
  <c r="I52" i="98"/>
  <c r="I58" i="98"/>
  <c r="I64" i="98"/>
  <c r="I70" i="98"/>
  <c r="I82" i="98"/>
  <c r="I88" i="98"/>
  <c r="I94" i="98"/>
  <c r="I100" i="98"/>
  <c r="I106" i="98"/>
  <c r="I49" i="98"/>
  <c r="I55" i="98"/>
  <c r="I67" i="98"/>
  <c r="I79" i="98"/>
  <c r="I85" i="98"/>
  <c r="I91" i="98"/>
  <c r="I97" i="98"/>
  <c r="I103" i="98"/>
  <c r="I10" i="98"/>
  <c r="I16" i="98"/>
  <c r="I28" i="98"/>
  <c r="I14" i="98"/>
  <c r="I20" i="98"/>
  <c r="I50" i="98"/>
  <c r="I56" i="98"/>
  <c r="I74" i="98"/>
  <c r="I80" i="98"/>
  <c r="I86" i="98"/>
  <c r="I92" i="98"/>
  <c r="I98" i="98"/>
  <c r="I104" i="98"/>
  <c r="I107" i="98"/>
  <c r="I51" i="98"/>
  <c r="I57" i="98"/>
  <c r="I63" i="98"/>
  <c r="I69" i="98"/>
  <c r="I75" i="98"/>
  <c r="I81" i="98"/>
  <c r="I87" i="98"/>
  <c r="I99" i="98"/>
  <c r="I105" i="98"/>
  <c r="I11" i="98"/>
  <c r="I17" i="98"/>
  <c r="I23" i="98"/>
  <c r="I29" i="98"/>
  <c r="I35" i="98"/>
  <c r="I41" i="98"/>
  <c r="I47" i="98"/>
  <c r="I7" i="98"/>
  <c r="I12" i="98"/>
  <c r="I18" i="98"/>
  <c r="I24" i="98"/>
  <c r="I30" i="98"/>
  <c r="I36" i="98"/>
  <c r="I42" i="98"/>
  <c r="I48" i="98"/>
  <c r="I13" i="98"/>
  <c r="I19" i="98"/>
  <c r="I31" i="98"/>
  <c r="I37" i="98"/>
  <c r="I43" i="98"/>
  <c r="I110" i="98"/>
  <c r="I32" i="98"/>
  <c r="I38" i="98"/>
  <c r="I44" i="98"/>
  <c r="I9" i="98"/>
  <c r="I15" i="98"/>
  <c r="I21" i="98"/>
  <c r="I27" i="98"/>
  <c r="I33" i="98"/>
  <c r="I39" i="98"/>
  <c r="I62" i="98"/>
  <c r="I108" i="98"/>
  <c r="I76" i="98"/>
  <c r="I53" i="98"/>
  <c r="I59" i="98"/>
  <c r="I65" i="98"/>
  <c r="I71" i="98"/>
  <c r="I77" i="98"/>
  <c r="I83" i="98"/>
  <c r="I89" i="98"/>
  <c r="I95" i="98"/>
  <c r="I111" i="98"/>
  <c r="I26" i="98"/>
  <c r="I8" i="98"/>
  <c r="I54" i="98"/>
  <c r="I60" i="98"/>
  <c r="I66" i="98"/>
  <c r="I72" i="98"/>
  <c r="I84" i="98"/>
  <c r="I90" i="98"/>
  <c r="I102" i="98"/>
  <c r="I96" i="98"/>
  <c r="I22" i="98"/>
  <c r="I45" i="98"/>
  <c r="I68" i="98"/>
  <c r="I78" i="98"/>
  <c r="I93" i="98"/>
  <c r="I25" i="98"/>
  <c r="I61" i="98"/>
  <c r="I101" i="98"/>
  <c r="J240" i="1"/>
  <c r="H107" i="8" s="1"/>
  <c r="H239" i="1"/>
  <c r="G106" i="8" s="1"/>
  <c r="G239" i="1"/>
  <c r="F106" i="8" s="1"/>
  <c r="F239" i="1"/>
  <c r="E106" i="8" s="1"/>
  <c r="H238" i="1"/>
  <c r="G105" i="8" s="1"/>
  <c r="G238" i="1"/>
  <c r="C61" i="23" s="1"/>
  <c r="F238" i="1"/>
  <c r="E105" i="8" s="1"/>
  <c r="H237" i="1"/>
  <c r="G104" i="8" s="1"/>
  <c r="G237" i="1"/>
  <c r="F104" i="8" s="1"/>
  <c r="F237" i="1"/>
  <c r="E104" i="8" s="1"/>
  <c r="H236" i="1"/>
  <c r="G236" i="1"/>
  <c r="F236" i="1"/>
  <c r="H234" i="1"/>
  <c r="G234" i="1"/>
  <c r="F234" i="1"/>
  <c r="H240" i="1"/>
  <c r="G107" i="8" s="1"/>
  <c r="G240" i="1"/>
  <c r="F107" i="8" s="1"/>
  <c r="F240" i="1"/>
  <c r="E107" i="8" s="1"/>
  <c r="J239" i="1"/>
  <c r="H106" i="8" s="1"/>
  <c r="J238" i="1"/>
  <c r="H105" i="8" s="1"/>
  <c r="J237" i="1"/>
  <c r="H104" i="8" s="1"/>
  <c r="H235" i="1"/>
  <c r="G235" i="1"/>
  <c r="F235" i="1"/>
  <c r="J233" i="1"/>
  <c r="H103" i="8" s="1"/>
  <c r="H233" i="1"/>
  <c r="G233" i="1"/>
  <c r="F233" i="1"/>
  <c r="E103" i="8" s="1"/>
  <c r="O10" i="98" l="1"/>
  <c r="O18" i="98"/>
  <c r="O16" i="98"/>
  <c r="O20" i="98"/>
  <c r="O12" i="98"/>
  <c r="O15" i="98"/>
  <c r="O11" i="98"/>
  <c r="O14" i="98"/>
  <c r="O19" i="98"/>
  <c r="O17" i="98"/>
  <c r="O13" i="98"/>
  <c r="O9" i="98"/>
  <c r="O7" i="98"/>
  <c r="O8" i="98"/>
  <c r="E61" i="23"/>
  <c r="G103" i="8"/>
  <c r="Y61" i="43"/>
  <c r="D61" i="23"/>
  <c r="AE61" i="43"/>
  <c r="W61" i="43"/>
  <c r="K61" i="43"/>
  <c r="AC61" i="43"/>
  <c r="AF61" i="43"/>
  <c r="Z61" i="43" a="1"/>
  <c r="Z61" i="43" s="1"/>
  <c r="AH61" i="43" a="1"/>
  <c r="AH61" i="43" s="1"/>
  <c r="AD61" i="43"/>
  <c r="AJ61" i="43" a="1"/>
  <c r="AJ61" i="43" s="1"/>
  <c r="AA61" i="43"/>
  <c r="X61" i="43"/>
  <c r="S61" i="43"/>
  <c r="M61" i="43"/>
  <c r="U61" i="43"/>
  <c r="V61" i="43"/>
  <c r="AB61" i="43"/>
  <c r="C61" i="43"/>
  <c r="L61" i="43"/>
  <c r="R61" i="43"/>
  <c r="H61" i="43"/>
  <c r="N61" i="43"/>
  <c r="F61" i="43"/>
  <c r="D61" i="43"/>
  <c r="P61" i="43"/>
  <c r="Q61" i="43"/>
  <c r="O61" i="43"/>
  <c r="J61" i="43"/>
  <c r="G61" i="43"/>
  <c r="T61" i="43"/>
  <c r="I61" i="43"/>
  <c r="E61" i="43"/>
  <c r="F103" i="8"/>
  <c r="F105" i="8"/>
  <c r="D15" i="89" l="1"/>
  <c r="D63" i="17" l="1"/>
  <c r="F63" i="17"/>
  <c r="C63" i="17"/>
  <c r="E63" i="17"/>
  <c r="C10" i="19" l="1"/>
  <c r="G10" i="19"/>
  <c r="J231" i="1" l="1"/>
  <c r="H101" i="8" s="1"/>
  <c r="J47" i="1"/>
  <c r="J46" i="1"/>
  <c r="H45" i="1"/>
  <c r="G45" i="1"/>
  <c r="F45" i="1"/>
  <c r="J45" i="1"/>
  <c r="H31" i="1"/>
  <c r="G31" i="1"/>
  <c r="F31" i="1"/>
  <c r="H30" i="1"/>
  <c r="G30" i="1"/>
  <c r="F30" i="1"/>
  <c r="H28" i="1"/>
  <c r="G28" i="1"/>
  <c r="F28" i="1"/>
  <c r="H27" i="1"/>
  <c r="G27" i="1"/>
  <c r="F27" i="1"/>
  <c r="H25" i="1"/>
  <c r="G25" i="1"/>
  <c r="F25" i="1"/>
  <c r="H24" i="1"/>
  <c r="G24" i="1"/>
  <c r="F24" i="1"/>
  <c r="H22" i="1"/>
  <c r="G22" i="1"/>
  <c r="F22" i="1"/>
  <c r="J22" i="1"/>
  <c r="H21" i="1"/>
  <c r="G21" i="1"/>
  <c r="F21" i="1"/>
  <c r="J21" i="1"/>
  <c r="H48" i="1"/>
  <c r="G48" i="1"/>
  <c r="F48" i="1"/>
  <c r="H47" i="1"/>
  <c r="G47" i="1"/>
  <c r="F47" i="1"/>
  <c r="H46" i="1"/>
  <c r="G46" i="1"/>
  <c r="F46" i="1"/>
  <c r="H232" i="1"/>
  <c r="G102" i="8" s="1"/>
  <c r="G232" i="1"/>
  <c r="E60" i="23" s="1"/>
  <c r="F232" i="1"/>
  <c r="E102" i="8" s="1"/>
  <c r="J232" i="1"/>
  <c r="H102" i="8" s="1"/>
  <c r="H231" i="1"/>
  <c r="G101" i="8" s="1"/>
  <c r="G231" i="1"/>
  <c r="F101" i="8" s="1"/>
  <c r="F231" i="1"/>
  <c r="E101" i="8" s="1"/>
  <c r="H230" i="1"/>
  <c r="G230" i="1"/>
  <c r="F230" i="1"/>
  <c r="H229" i="1"/>
  <c r="G100" i="8" s="1"/>
  <c r="G229" i="1"/>
  <c r="F100" i="8" s="1"/>
  <c r="F229" i="1"/>
  <c r="E100" i="8" s="1"/>
  <c r="J229" i="1"/>
  <c r="H100" i="8" s="1"/>
  <c r="J227" i="1"/>
  <c r="H99" i="8" s="1"/>
  <c r="J226" i="1"/>
  <c r="H98" i="8" s="1"/>
  <c r="H228" i="1"/>
  <c r="G228" i="1"/>
  <c r="F228" i="1"/>
  <c r="E116" i="8" l="1"/>
  <c r="F116" i="8"/>
  <c r="G116" i="8"/>
  <c r="H116" i="8"/>
  <c r="F102" i="8"/>
  <c r="H227" i="1"/>
  <c r="G99" i="8" s="1"/>
  <c r="G227" i="1"/>
  <c r="F99" i="8" s="1"/>
  <c r="F227" i="1"/>
  <c r="E99" i="8" s="1"/>
  <c r="H226" i="1"/>
  <c r="G98" i="8" s="1"/>
  <c r="G226" i="1"/>
  <c r="F98" i="8" s="1"/>
  <c r="F226" i="1"/>
  <c r="E98" i="8" s="1"/>
  <c r="H225" i="1"/>
  <c r="G225" i="1"/>
  <c r="F225" i="1"/>
  <c r="D42" i="60" l="1"/>
  <c r="D49" i="60" s="1"/>
  <c r="C42" i="60"/>
  <c r="C49" i="60" s="1"/>
  <c r="D36" i="60"/>
  <c r="D48" i="60" s="1"/>
  <c r="C36" i="60"/>
  <c r="C48" i="60" s="1"/>
  <c r="D32" i="60"/>
  <c r="D47" i="60" s="1"/>
  <c r="C32" i="60"/>
  <c r="C47" i="60" s="1"/>
  <c r="D46" i="60"/>
  <c r="C46" i="60"/>
  <c r="H35" i="1"/>
  <c r="G35" i="1"/>
  <c r="F35" i="1"/>
  <c r="H34" i="1"/>
  <c r="G34" i="1"/>
  <c r="F34" i="1"/>
  <c r="H113" i="1"/>
  <c r="G113" i="1"/>
  <c r="F113" i="1"/>
  <c r="J113" i="1"/>
  <c r="G16" i="9"/>
  <c r="F16" i="9"/>
  <c r="E16" i="9"/>
  <c r="G17" i="9"/>
  <c r="F17" i="9"/>
  <c r="E17" i="9"/>
  <c r="F12" i="9"/>
  <c r="E12" i="9"/>
  <c r="F11" i="9"/>
  <c r="E11" i="9"/>
  <c r="F8" i="9"/>
  <c r="E8" i="9"/>
  <c r="L10" i="9"/>
  <c r="H154" i="1"/>
  <c r="G154" i="1"/>
  <c r="F154" i="1"/>
  <c r="H153" i="1"/>
  <c r="G153" i="1"/>
  <c r="F153" i="1"/>
  <c r="F5" i="9"/>
  <c r="E5" i="9"/>
  <c r="F6" i="9"/>
  <c r="E6" i="9"/>
  <c r="F7" i="9"/>
  <c r="E7" i="9"/>
  <c r="F3" i="9"/>
  <c r="E3" i="9"/>
  <c r="F2" i="9"/>
  <c r="E2" i="9"/>
  <c r="I14" i="9"/>
  <c r="I19" i="9"/>
  <c r="J151" i="1"/>
  <c r="E7" i="104" s="1"/>
  <c r="H151" i="1"/>
  <c r="G151" i="1"/>
  <c r="F151" i="1"/>
  <c r="F4" i="9"/>
  <c r="E4" i="9"/>
  <c r="G18" i="9"/>
  <c r="F18" i="9"/>
  <c r="E18" i="9"/>
  <c r="G13" i="9"/>
  <c r="F13" i="9"/>
  <c r="E13" i="9"/>
  <c r="L15" i="9"/>
  <c r="H19" i="1"/>
  <c r="G19" i="1"/>
  <c r="F19" i="1"/>
  <c r="H17" i="1"/>
  <c r="G17" i="1"/>
  <c r="F17" i="1"/>
  <c r="J18" i="1"/>
  <c r="H18" i="1"/>
  <c r="G18" i="1"/>
  <c r="F18" i="1"/>
  <c r="J17" i="1"/>
  <c r="G14" i="9"/>
  <c r="F14" i="9"/>
  <c r="E14" i="9"/>
  <c r="Y20" i="43" l="1"/>
  <c r="E44" i="23"/>
  <c r="C20" i="23"/>
  <c r="AF20" i="43"/>
  <c r="X20" i="43"/>
  <c r="L20" i="43"/>
  <c r="AH20" i="43" a="1"/>
  <c r="AH20" i="43" s="1"/>
  <c r="AB20" i="43"/>
  <c r="W20" i="43"/>
  <c r="R20" i="43"/>
  <c r="P20" i="43"/>
  <c r="AD20" i="43"/>
  <c r="Z20" i="43" a="1"/>
  <c r="Z20" i="43" s="1"/>
  <c r="V20" i="43"/>
  <c r="AA20" i="43"/>
  <c r="T20" i="43"/>
  <c r="AJ20" i="43" a="1"/>
  <c r="AJ20" i="43" s="1"/>
  <c r="AE20" i="43"/>
  <c r="D20" i="43"/>
  <c r="K20" i="43"/>
  <c r="AC20" i="43"/>
  <c r="M20" i="43"/>
  <c r="G20" i="43"/>
  <c r="E20" i="43"/>
  <c r="C20" i="43"/>
  <c r="I20" i="43"/>
  <c r="J20" i="43"/>
  <c r="H20" i="43"/>
  <c r="S20" i="43"/>
  <c r="N20" i="43"/>
  <c r="U20" i="43"/>
  <c r="O20" i="43"/>
  <c r="F20" i="43"/>
  <c r="Q20" i="43"/>
  <c r="D50" i="60"/>
  <c r="C50" i="60"/>
  <c r="C84" i="8" l="1"/>
  <c r="D84" i="8"/>
  <c r="C85" i="8"/>
  <c r="D85" i="8"/>
  <c r="C86" i="8"/>
  <c r="D86" i="8"/>
  <c r="C87" i="8"/>
  <c r="D87" i="8"/>
  <c r="C88" i="8"/>
  <c r="D88" i="8"/>
  <c r="J219" i="1" l="1"/>
  <c r="H95" i="8" s="1"/>
  <c r="H224" i="1"/>
  <c r="G97" i="8" s="1"/>
  <c r="G224" i="1"/>
  <c r="F97" i="8" s="1"/>
  <c r="F224" i="1"/>
  <c r="E97" i="8" s="1"/>
  <c r="J216" i="1"/>
  <c r="H93" i="8" s="1"/>
  <c r="J218" i="1"/>
  <c r="H219" i="1"/>
  <c r="G95" i="8" s="1"/>
  <c r="G219" i="1"/>
  <c r="F95" i="8" s="1"/>
  <c r="F219" i="1"/>
  <c r="E95" i="8" s="1"/>
  <c r="J220" i="1"/>
  <c r="H96" i="8" s="1"/>
  <c r="H220" i="1"/>
  <c r="G96" i="8" s="1"/>
  <c r="G220" i="1"/>
  <c r="F220" i="1"/>
  <c r="E96" i="8" s="1"/>
  <c r="H222" i="1"/>
  <c r="G222" i="1"/>
  <c r="F222" i="1"/>
  <c r="H223" i="1"/>
  <c r="G223" i="1"/>
  <c r="F223" i="1"/>
  <c r="H212" i="1"/>
  <c r="G212" i="1"/>
  <c r="F212" i="1"/>
  <c r="H213" i="1"/>
  <c r="G213" i="1"/>
  <c r="F213" i="1"/>
  <c r="H214" i="1"/>
  <c r="G214" i="1"/>
  <c r="F214" i="1"/>
  <c r="H215" i="1"/>
  <c r="G215" i="1"/>
  <c r="F215" i="1"/>
  <c r="H216" i="1"/>
  <c r="G93" i="8" s="1"/>
  <c r="G216" i="1"/>
  <c r="F93" i="8" s="1"/>
  <c r="F216" i="1"/>
  <c r="E93" i="8" s="1"/>
  <c r="H217" i="1"/>
  <c r="G217" i="1"/>
  <c r="F217" i="1"/>
  <c r="J224" i="1"/>
  <c r="H97" i="8" s="1"/>
  <c r="F10" i="9"/>
  <c r="E10" i="9"/>
  <c r="H218" i="1"/>
  <c r="G94" i="8" s="1"/>
  <c r="G218" i="1"/>
  <c r="F94" i="8" s="1"/>
  <c r="F218" i="1"/>
  <c r="E94" i="8" s="1"/>
  <c r="Y60" i="43" l="1"/>
  <c r="C60" i="23"/>
  <c r="D60" i="23"/>
  <c r="P60" i="43"/>
  <c r="Z60" i="43" a="1"/>
  <c r="Z60" i="43" s="1"/>
  <c r="AJ60" i="43" a="1"/>
  <c r="AJ60" i="43" s="1"/>
  <c r="AB60" i="43"/>
  <c r="X60" i="43"/>
  <c r="S60" i="43"/>
  <c r="Q60" i="43"/>
  <c r="AC60" i="43"/>
  <c r="W60" i="43"/>
  <c r="U60" i="43"/>
  <c r="V60" i="43"/>
  <c r="AE60" i="43"/>
  <c r="L60" i="43"/>
  <c r="AH60" i="43" a="1"/>
  <c r="AH60" i="43" s="1"/>
  <c r="AF60" i="43"/>
  <c r="R60" i="43"/>
  <c r="M60" i="43"/>
  <c r="O60" i="43"/>
  <c r="AD60" i="43"/>
  <c r="H60" i="43"/>
  <c r="E60" i="43"/>
  <c r="AA60" i="43"/>
  <c r="N60" i="43"/>
  <c r="F60" i="43"/>
  <c r="K60" i="43"/>
  <c r="D60" i="43"/>
  <c r="J60" i="43"/>
  <c r="G60" i="43"/>
  <c r="T60" i="43"/>
  <c r="I60" i="43"/>
  <c r="C60" i="43"/>
  <c r="H94" i="8"/>
  <c r="E9" i="104"/>
  <c r="F96" i="8"/>
  <c r="D10" i="60"/>
  <c r="D9" i="60"/>
  <c r="D8" i="60"/>
  <c r="C63" i="47" l="1"/>
  <c r="E63" i="47"/>
  <c r="D63" i="47"/>
  <c r="F10" i="19" l="1"/>
  <c r="E10" i="19"/>
  <c r="D10" i="19"/>
  <c r="D83" i="8"/>
  <c r="C83" i="8"/>
  <c r="H210" i="1"/>
  <c r="G92" i="8" s="1"/>
  <c r="G210" i="1"/>
  <c r="F92" i="8" s="1"/>
  <c r="F210" i="1"/>
  <c r="E92" i="8" s="1"/>
  <c r="J210" i="1"/>
  <c r="H92" i="8" s="1"/>
  <c r="H209" i="1"/>
  <c r="G209" i="1"/>
  <c r="F209" i="1"/>
  <c r="H208" i="1"/>
  <c r="G91" i="8" s="1"/>
  <c r="G208" i="1"/>
  <c r="D59" i="23" s="1"/>
  <c r="F208" i="1"/>
  <c r="E91" i="8" s="1"/>
  <c r="J208" i="1"/>
  <c r="H91" i="8" s="1"/>
  <c r="H207" i="1"/>
  <c r="G207" i="1"/>
  <c r="F207" i="1"/>
  <c r="Y59" i="43" l="1"/>
  <c r="C59" i="23"/>
  <c r="AC59" i="43"/>
  <c r="U59" i="43"/>
  <c r="I59" i="43"/>
  <c r="AF59" i="43"/>
  <c r="AJ59" i="43" a="1"/>
  <c r="AJ59" i="43" s="1"/>
  <c r="AB59" i="43"/>
  <c r="X59" i="43"/>
  <c r="M59" i="43"/>
  <c r="W59" i="43"/>
  <c r="P59" i="43"/>
  <c r="V59" i="43"/>
  <c r="AE59" i="43"/>
  <c r="AH59" i="43" a="1"/>
  <c r="AH59" i="43" s="1"/>
  <c r="R59" i="43"/>
  <c r="O59" i="43"/>
  <c r="AA59" i="43"/>
  <c r="Z59" i="43" a="1"/>
  <c r="Z59" i="43" s="1"/>
  <c r="H59" i="43"/>
  <c r="L59" i="43"/>
  <c r="J59" i="43"/>
  <c r="N59" i="43"/>
  <c r="F59" i="43"/>
  <c r="G59" i="43"/>
  <c r="K59" i="43"/>
  <c r="D59" i="43"/>
  <c r="Q59" i="43"/>
  <c r="C59" i="43"/>
  <c r="AD59" i="43"/>
  <c r="T59" i="43"/>
  <c r="S59" i="43"/>
  <c r="E59" i="43"/>
  <c r="F91" i="8"/>
  <c r="C113" i="8"/>
  <c r="C114" i="8"/>
  <c r="C115" i="8"/>
  <c r="C117" i="8"/>
  <c r="C118" i="8"/>
  <c r="C119" i="8"/>
  <c r="C120" i="8"/>
  <c r="C121" i="8"/>
  <c r="C122" i="8"/>
  <c r="C123" i="8"/>
  <c r="C124" i="8"/>
  <c r="C112" i="8"/>
  <c r="C8" i="8"/>
  <c r="C9" i="8"/>
  <c r="C10" i="8"/>
  <c r="C11" i="8"/>
  <c r="C12" i="8"/>
  <c r="C13" i="8"/>
  <c r="C14" i="8"/>
  <c r="C15" i="8"/>
  <c r="C16" i="8"/>
  <c r="C17" i="8"/>
  <c r="C18" i="8"/>
  <c r="C19" i="8"/>
  <c r="C20" i="8"/>
  <c r="C21" i="8"/>
  <c r="C22" i="8"/>
  <c r="C23" i="8"/>
  <c r="C24" i="8"/>
  <c r="C25" i="8"/>
  <c r="C26" i="8"/>
  <c r="C27" i="8"/>
  <c r="C28" i="8"/>
  <c r="C29" i="8"/>
  <c r="C30" i="8"/>
  <c r="C31" i="8"/>
  <c r="C32" i="8"/>
  <c r="C33" i="8"/>
  <c r="C34" i="8"/>
  <c r="C35" i="8"/>
  <c r="C36" i="8"/>
  <c r="C37" i="8"/>
  <c r="C38" i="8"/>
  <c r="C39" i="8"/>
  <c r="C40" i="8"/>
  <c r="C41" i="8"/>
  <c r="C42" i="8"/>
  <c r="C43" i="8"/>
  <c r="C44" i="8"/>
  <c r="C45" i="8"/>
  <c r="C46" i="8"/>
  <c r="C47" i="8"/>
  <c r="C48" i="8"/>
  <c r="C49" i="8"/>
  <c r="C50" i="8"/>
  <c r="C51" i="8"/>
  <c r="C52" i="8"/>
  <c r="C53" i="8"/>
  <c r="C54" i="8"/>
  <c r="C55" i="8"/>
  <c r="C56" i="8"/>
  <c r="C57" i="8"/>
  <c r="C58" i="8"/>
  <c r="C59" i="8"/>
  <c r="C60" i="8"/>
  <c r="C61" i="8"/>
  <c r="C62" i="8"/>
  <c r="C63" i="8"/>
  <c r="C64" i="8"/>
  <c r="C65" i="8"/>
  <c r="C66" i="8"/>
  <c r="C67" i="8"/>
  <c r="C68" i="8"/>
  <c r="C69" i="8"/>
  <c r="C70" i="8"/>
  <c r="C71" i="8"/>
  <c r="C72" i="8"/>
  <c r="C73" i="8"/>
  <c r="C74" i="8"/>
  <c r="C75" i="8"/>
  <c r="C76" i="8"/>
  <c r="C77" i="8"/>
  <c r="C78" i="8"/>
  <c r="C79" i="8"/>
  <c r="C80" i="8"/>
  <c r="C81" i="8"/>
  <c r="C82" i="8"/>
  <c r="C7" i="8"/>
  <c r="H178" i="1"/>
  <c r="G178" i="1"/>
  <c r="F178" i="1"/>
  <c r="H158" i="1" l="1"/>
  <c r="G158" i="1"/>
  <c r="F158" i="1"/>
  <c r="D82" i="8"/>
  <c r="J195" i="1"/>
  <c r="H195" i="1"/>
  <c r="G195" i="1"/>
  <c r="E57" i="23" s="1"/>
  <c r="F195" i="1"/>
  <c r="C63" i="14" l="1"/>
  <c r="D63" i="14"/>
  <c r="C63" i="13"/>
  <c r="D81" i="8" l="1"/>
  <c r="D124" i="8"/>
  <c r="D123" i="8"/>
  <c r="D80" i="8"/>
  <c r="D79" i="8"/>
  <c r="D122" i="8"/>
  <c r="D120" i="8"/>
  <c r="J2" i="1"/>
  <c r="J5" i="1"/>
  <c r="J14" i="1"/>
  <c r="J16" i="1"/>
  <c r="H43" i="1"/>
  <c r="G43" i="1"/>
  <c r="F43" i="1"/>
  <c r="H42" i="1"/>
  <c r="G42" i="1"/>
  <c r="F42" i="1"/>
  <c r="H81" i="1" l="1"/>
  <c r="G81" i="1"/>
  <c r="F81" i="1"/>
  <c r="J75" i="1"/>
  <c r="H73" i="1"/>
  <c r="G73" i="1"/>
  <c r="F73" i="1"/>
  <c r="J73" i="1"/>
  <c r="D78" i="8"/>
  <c r="D121" i="8"/>
  <c r="D72" i="8"/>
  <c r="J71" i="1"/>
  <c r="D71" i="8"/>
  <c r="J70" i="1"/>
  <c r="D70" i="8"/>
  <c r="J69" i="1"/>
  <c r="D69" i="8"/>
  <c r="J68" i="1"/>
  <c r="D68" i="8"/>
  <c r="J67" i="1"/>
  <c r="H13" i="1"/>
  <c r="G13" i="1"/>
  <c r="F13" i="1"/>
  <c r="H12" i="1"/>
  <c r="G12" i="1"/>
  <c r="F12" i="1"/>
  <c r="H11" i="1"/>
  <c r="G11" i="1"/>
  <c r="F11" i="1"/>
  <c r="H10" i="1"/>
  <c r="G10" i="1"/>
  <c r="F10" i="1"/>
  <c r="H9" i="1"/>
  <c r="G9" i="1"/>
  <c r="F9" i="1"/>
  <c r="H7" i="1"/>
  <c r="G7" i="1"/>
  <c r="F7" i="1"/>
  <c r="F6" i="1"/>
  <c r="G6" i="1"/>
  <c r="H6" i="1"/>
  <c r="Y14" i="43" s="1"/>
  <c r="J7" i="1"/>
  <c r="D67" i="8"/>
  <c r="J65" i="1"/>
  <c r="D66" i="8"/>
  <c r="J64" i="1"/>
  <c r="D65" i="8"/>
  <c r="J63" i="1"/>
  <c r="D119" i="8"/>
  <c r="J62" i="1"/>
  <c r="D64" i="8"/>
  <c r="J60" i="1"/>
  <c r="D63" i="8"/>
  <c r="J59" i="1"/>
  <c r="D62" i="8"/>
  <c r="J56" i="1"/>
  <c r="D61" i="8"/>
  <c r="J55" i="1"/>
  <c r="J149" i="1"/>
  <c r="D60" i="8"/>
  <c r="J54" i="1"/>
  <c r="D59" i="8"/>
  <c r="J53" i="1"/>
  <c r="D118" i="8"/>
  <c r="J50" i="1"/>
  <c r="D77" i="8"/>
  <c r="D76" i="8"/>
  <c r="D117" i="8"/>
  <c r="J84" i="1"/>
  <c r="D115" i="8"/>
  <c r="J90" i="1"/>
  <c r="D114" i="8"/>
  <c r="J103" i="1"/>
  <c r="D113" i="8"/>
  <c r="J112" i="1"/>
  <c r="D112" i="8"/>
  <c r="J171" i="1"/>
  <c r="J198" i="1"/>
  <c r="D55" i="8"/>
  <c r="J91" i="1"/>
  <c r="D54" i="8"/>
  <c r="J96" i="1"/>
  <c r="H14" i="1"/>
  <c r="G14" i="1"/>
  <c r="F14" i="1"/>
  <c r="F9" i="9"/>
  <c r="E9" i="9"/>
  <c r="D34" i="8"/>
  <c r="G15" i="9"/>
  <c r="F15" i="9"/>
  <c r="E15" i="9"/>
  <c r="G19" i="9"/>
  <c r="F19" i="9"/>
  <c r="E19" i="9"/>
  <c r="Y15" i="43" l="1"/>
  <c r="C14" i="23"/>
  <c r="R14" i="43"/>
  <c r="AA14" i="43"/>
  <c r="AJ14" i="43" a="1"/>
  <c r="AJ14" i="43" s="1"/>
  <c r="AD14" i="43"/>
  <c r="X14" i="43"/>
  <c r="AE14" i="43"/>
  <c r="U14" i="43"/>
  <c r="T14" i="43"/>
  <c r="AF14" i="43"/>
  <c r="K14" i="43"/>
  <c r="AC14" i="43"/>
  <c r="Q14" i="43"/>
  <c r="S14" i="43"/>
  <c r="AB14" i="43"/>
  <c r="W14" i="43"/>
  <c r="P14" i="43"/>
  <c r="J14" i="43"/>
  <c r="D14" i="43"/>
  <c r="M14" i="43"/>
  <c r="AH14" i="43" a="1"/>
  <c r="AH14" i="43" s="1"/>
  <c r="C14" i="43"/>
  <c r="N14" i="43"/>
  <c r="I14" i="43"/>
  <c r="O14" i="43"/>
  <c r="V14" i="43"/>
  <c r="F14" i="43"/>
  <c r="Z14" i="43" a="1"/>
  <c r="Z14" i="43" s="1"/>
  <c r="H14" i="43"/>
  <c r="E14" i="43"/>
  <c r="L14" i="43"/>
  <c r="G14" i="43"/>
  <c r="M15" i="43"/>
  <c r="C15" i="23"/>
  <c r="AJ15" i="43" a="1"/>
  <c r="AJ15" i="43" s="1"/>
  <c r="AD15" i="43"/>
  <c r="AH15" i="43" a="1"/>
  <c r="AH15" i="43" s="1"/>
  <c r="O15" i="43"/>
  <c r="X15" i="43"/>
  <c r="U15" i="43"/>
  <c r="T15" i="43"/>
  <c r="AA15" i="43"/>
  <c r="AF15" i="43"/>
  <c r="AC15" i="43"/>
  <c r="S15" i="43"/>
  <c r="AE15" i="43"/>
  <c r="Z15" i="43" a="1"/>
  <c r="Z15" i="43" s="1"/>
  <c r="V15" i="43"/>
  <c r="E15" i="43"/>
  <c r="Q15" i="43"/>
  <c r="W15" i="43"/>
  <c r="P15" i="43"/>
  <c r="J15" i="43"/>
  <c r="K15" i="43"/>
  <c r="C15" i="43"/>
  <c r="L15" i="43"/>
  <c r="R15" i="43"/>
  <c r="N15" i="43"/>
  <c r="I15" i="43"/>
  <c r="AB15" i="43"/>
  <c r="D15" i="43"/>
  <c r="G15" i="43"/>
  <c r="F15" i="43"/>
  <c r="H15" i="43"/>
  <c r="H124" i="8"/>
  <c r="D39" i="8"/>
  <c r="J141" i="1"/>
  <c r="D38" i="8"/>
  <c r="J140" i="1"/>
  <c r="D35" i="8"/>
  <c r="J160" i="1"/>
  <c r="D33" i="8" l="1"/>
  <c r="J150" i="1"/>
  <c r="D75" i="8"/>
  <c r="D73" i="8"/>
  <c r="H40" i="1"/>
  <c r="G40" i="1"/>
  <c r="F40" i="1"/>
  <c r="H39" i="1"/>
  <c r="G39" i="1"/>
  <c r="F39" i="1"/>
  <c r="H38" i="1"/>
  <c r="G38" i="1"/>
  <c r="F38" i="1"/>
  <c r="J37" i="1"/>
  <c r="H37" i="1"/>
  <c r="G37" i="1"/>
  <c r="F37" i="1"/>
  <c r="H36" i="1"/>
  <c r="G36" i="1"/>
  <c r="F36" i="1"/>
  <c r="D30" i="8" l="1"/>
  <c r="G161" i="1"/>
  <c r="F161" i="1"/>
  <c r="J161" i="1"/>
  <c r="J38" i="1"/>
  <c r="J36" i="1"/>
  <c r="D8" i="8"/>
  <c r="D9" i="8"/>
  <c r="D10" i="8"/>
  <c r="D11" i="8"/>
  <c r="D12" i="8"/>
  <c r="D13" i="8"/>
  <c r="D14" i="8"/>
  <c r="D15" i="8"/>
  <c r="D16" i="8"/>
  <c r="D17" i="8"/>
  <c r="D18" i="8"/>
  <c r="D19" i="8"/>
  <c r="D20" i="8"/>
  <c r="D21" i="8"/>
  <c r="D22" i="8"/>
  <c r="D23" i="8"/>
  <c r="D24" i="8"/>
  <c r="D25" i="8"/>
  <c r="D26" i="8"/>
  <c r="D27" i="8"/>
  <c r="D28" i="8"/>
  <c r="D29" i="8"/>
  <c r="D31" i="8"/>
  <c r="D32" i="8"/>
  <c r="D36" i="8"/>
  <c r="D37" i="8"/>
  <c r="D40" i="8"/>
  <c r="D41" i="8"/>
  <c r="D42" i="8"/>
  <c r="D43" i="8"/>
  <c r="D44" i="8"/>
  <c r="D45" i="8"/>
  <c r="D46" i="8"/>
  <c r="D47" i="8"/>
  <c r="D48" i="8"/>
  <c r="D49" i="8"/>
  <c r="D50" i="8"/>
  <c r="D51" i="8"/>
  <c r="D52" i="8"/>
  <c r="D53" i="8"/>
  <c r="D56" i="8"/>
  <c r="D57" i="8"/>
  <c r="D58" i="8"/>
  <c r="D74" i="8"/>
  <c r="D7" i="8"/>
  <c r="F56" i="1"/>
  <c r="G196" i="1" l="1"/>
  <c r="C57" i="23" s="1"/>
  <c r="H5" i="1" l="1"/>
  <c r="G5" i="1"/>
  <c r="F5" i="1"/>
  <c r="H4" i="1"/>
  <c r="G4" i="1"/>
  <c r="F4" i="1"/>
  <c r="H3" i="1"/>
  <c r="G3" i="1"/>
  <c r="F3" i="1"/>
  <c r="H15" i="1"/>
  <c r="Y16" i="43" s="1"/>
  <c r="G15" i="1"/>
  <c r="F15" i="1"/>
  <c r="H16" i="1"/>
  <c r="G16" i="1"/>
  <c r="F16" i="1"/>
  <c r="H32" i="1"/>
  <c r="Y18" i="43" s="1"/>
  <c r="G32" i="1"/>
  <c r="F32" i="1"/>
  <c r="H41" i="1"/>
  <c r="Y22" i="43" s="1"/>
  <c r="G41" i="1"/>
  <c r="F41" i="1"/>
  <c r="H44" i="1"/>
  <c r="Y23" i="43" s="1"/>
  <c r="G44" i="1"/>
  <c r="F44" i="1"/>
  <c r="H80" i="1"/>
  <c r="G80" i="1"/>
  <c r="F80" i="1"/>
  <c r="Y12" i="43" l="1"/>
  <c r="C16" i="23"/>
  <c r="AH16" i="43" a="1"/>
  <c r="AH16" i="43" s="1"/>
  <c r="AB16" i="43"/>
  <c r="T16" i="43"/>
  <c r="H16" i="43"/>
  <c r="AE16" i="43"/>
  <c r="AA16" i="43"/>
  <c r="Z16" i="43" a="1"/>
  <c r="Z16" i="43" s="1"/>
  <c r="AD16" i="43"/>
  <c r="V16" i="43"/>
  <c r="L16" i="43"/>
  <c r="X16" i="43"/>
  <c r="U16" i="43"/>
  <c r="AF16" i="43"/>
  <c r="AC16" i="43"/>
  <c r="Q16" i="43"/>
  <c r="N16" i="43"/>
  <c r="AJ16" i="43" a="1"/>
  <c r="AJ16" i="43" s="1"/>
  <c r="M16" i="43"/>
  <c r="G16" i="43"/>
  <c r="C16" i="43"/>
  <c r="E16" i="43"/>
  <c r="W16" i="43"/>
  <c r="P16" i="43"/>
  <c r="J16" i="43"/>
  <c r="K16" i="43"/>
  <c r="S16" i="43"/>
  <c r="I16" i="43"/>
  <c r="R16" i="43"/>
  <c r="F16" i="43"/>
  <c r="O16" i="43"/>
  <c r="D16" i="43"/>
  <c r="Z22" i="43" a="1"/>
  <c r="Z22" i="43" s="1"/>
  <c r="D22" i="43"/>
  <c r="C22" i="23"/>
  <c r="V22" i="43"/>
  <c r="C22" i="43"/>
  <c r="N22" i="43"/>
  <c r="L22" i="43"/>
  <c r="G22" i="43"/>
  <c r="AJ22" i="43" a="1"/>
  <c r="AJ22" i="43" s="1"/>
  <c r="AA22" i="43"/>
  <c r="AF22" i="43"/>
  <c r="AB22" i="43"/>
  <c r="O22" i="43"/>
  <c r="AC22" i="43"/>
  <c r="X22" i="43"/>
  <c r="F22" i="43"/>
  <c r="P22" i="43"/>
  <c r="U22" i="43"/>
  <c r="M22" i="43"/>
  <c r="E22" i="43"/>
  <c r="AE22" i="43"/>
  <c r="R22" i="43"/>
  <c r="T22" i="43"/>
  <c r="S22" i="43"/>
  <c r="Q22" i="43"/>
  <c r="K22" i="43"/>
  <c r="I22" i="43"/>
  <c r="W22" i="43"/>
  <c r="H22" i="43"/>
  <c r="AH22" i="43" a="1"/>
  <c r="AH22" i="43" s="1"/>
  <c r="J22" i="43"/>
  <c r="AD22" i="43"/>
  <c r="C12" i="23"/>
  <c r="Z12" i="43" a="1"/>
  <c r="Z12" i="43" s="1"/>
  <c r="P12" i="43"/>
  <c r="AJ12" i="43" a="1"/>
  <c r="AJ12" i="43" s="1"/>
  <c r="AD12" i="43"/>
  <c r="AH12" i="43" a="1"/>
  <c r="AH12" i="43" s="1"/>
  <c r="AC12" i="43"/>
  <c r="AA12" i="43"/>
  <c r="AF12" i="43"/>
  <c r="K12" i="43"/>
  <c r="Q12" i="43"/>
  <c r="S12" i="43"/>
  <c r="AE12" i="43"/>
  <c r="W12" i="43"/>
  <c r="U12" i="43"/>
  <c r="N12" i="43"/>
  <c r="I12" i="43"/>
  <c r="M12" i="43"/>
  <c r="R12" i="43"/>
  <c r="F12" i="43"/>
  <c r="L12" i="43"/>
  <c r="V12" i="43"/>
  <c r="AB12" i="43"/>
  <c r="X12" i="43"/>
  <c r="T12" i="43"/>
  <c r="H12" i="43"/>
  <c r="D12" i="43"/>
  <c r="C12" i="43"/>
  <c r="O12" i="43"/>
  <c r="E12" i="43"/>
  <c r="G12" i="43"/>
  <c r="J12" i="43"/>
  <c r="C18" i="23"/>
  <c r="AD18" i="43"/>
  <c r="V18" i="43"/>
  <c r="J18" i="43"/>
  <c r="AE18" i="43"/>
  <c r="Z18" i="43" a="1"/>
  <c r="Z18" i="43" s="1"/>
  <c r="AF18" i="43"/>
  <c r="AB18" i="43"/>
  <c r="W18" i="43"/>
  <c r="R18" i="43"/>
  <c r="P18" i="43"/>
  <c r="AH18" i="43" a="1"/>
  <c r="AH18" i="43" s="1"/>
  <c r="O18" i="43"/>
  <c r="L18" i="43"/>
  <c r="AA18" i="43"/>
  <c r="T18" i="43"/>
  <c r="X18" i="43"/>
  <c r="U18" i="43"/>
  <c r="AJ18" i="43" a="1"/>
  <c r="AJ18" i="43" s="1"/>
  <c r="AC18" i="43"/>
  <c r="I18" i="43"/>
  <c r="M18" i="43"/>
  <c r="G18" i="43"/>
  <c r="Q18" i="43"/>
  <c r="E18" i="43"/>
  <c r="H18" i="43"/>
  <c r="K18" i="43"/>
  <c r="C18" i="43"/>
  <c r="S18" i="43"/>
  <c r="N18" i="43"/>
  <c r="F18" i="43"/>
  <c r="D18" i="43"/>
  <c r="C23" i="23"/>
  <c r="AJ23" i="43" a="1"/>
  <c r="AJ23" i="43" s="1"/>
  <c r="AH23" i="43" a="1"/>
  <c r="AH23" i="43" s="1"/>
  <c r="AC23" i="43"/>
  <c r="U23" i="43"/>
  <c r="I23" i="43"/>
  <c r="AF23" i="43"/>
  <c r="AD23" i="43"/>
  <c r="Z23" i="43" a="1"/>
  <c r="Z23" i="43" s="1"/>
  <c r="Q23" i="43"/>
  <c r="AE23" i="43"/>
  <c r="S23" i="43"/>
  <c r="M23" i="43"/>
  <c r="AB23" i="43"/>
  <c r="W23" i="43"/>
  <c r="R23" i="43"/>
  <c r="P23" i="43"/>
  <c r="X23" i="43"/>
  <c r="T23" i="43"/>
  <c r="O23" i="43"/>
  <c r="L23" i="43"/>
  <c r="F23" i="43"/>
  <c r="H23" i="43"/>
  <c r="D23" i="43"/>
  <c r="C23" i="43"/>
  <c r="V23" i="43"/>
  <c r="AA23" i="43"/>
  <c r="G23" i="43"/>
  <c r="J23" i="43"/>
  <c r="E23" i="43"/>
  <c r="K23" i="43"/>
  <c r="N23" i="43"/>
  <c r="H78" i="1"/>
  <c r="G78" i="1"/>
  <c r="F78" i="1"/>
  <c r="H77" i="1"/>
  <c r="G77" i="1"/>
  <c r="F77" i="1"/>
  <c r="H75" i="1"/>
  <c r="G75" i="1"/>
  <c r="F75" i="1"/>
  <c r="H74" i="1"/>
  <c r="G74" i="1"/>
  <c r="F74" i="1"/>
  <c r="H72" i="1"/>
  <c r="G72" i="1"/>
  <c r="F72" i="1"/>
  <c r="H71" i="1"/>
  <c r="G71" i="1"/>
  <c r="F71" i="1"/>
  <c r="H70" i="1"/>
  <c r="G70" i="1"/>
  <c r="F70" i="1"/>
  <c r="H69" i="1"/>
  <c r="G69" i="1"/>
  <c r="F69" i="1"/>
  <c r="H68" i="1"/>
  <c r="G68" i="1"/>
  <c r="F68" i="1"/>
  <c r="H67" i="1"/>
  <c r="G67" i="1"/>
  <c r="F67" i="1"/>
  <c r="H66" i="1"/>
  <c r="G66" i="1"/>
  <c r="F66" i="1"/>
  <c r="H65" i="1"/>
  <c r="G65" i="1"/>
  <c r="F65" i="1"/>
  <c r="H64" i="1"/>
  <c r="G64" i="1"/>
  <c r="F64" i="1"/>
  <c r="H63" i="1"/>
  <c r="G63" i="1"/>
  <c r="F63" i="1"/>
  <c r="H62" i="1"/>
  <c r="G62" i="1"/>
  <c r="F62" i="1"/>
  <c r="H61" i="1"/>
  <c r="G61" i="1"/>
  <c r="F61" i="1"/>
  <c r="H60" i="1"/>
  <c r="G60" i="1"/>
  <c r="F60" i="1"/>
  <c r="H59" i="1" l="1"/>
  <c r="G59" i="1"/>
  <c r="F59" i="1"/>
  <c r="H58" i="1"/>
  <c r="G58" i="1"/>
  <c r="F58" i="1"/>
  <c r="H57" i="1"/>
  <c r="G57" i="1"/>
  <c r="F57" i="1"/>
  <c r="H56" i="1"/>
  <c r="G56" i="1"/>
  <c r="H55" i="1"/>
  <c r="G55" i="1"/>
  <c r="F55" i="1"/>
  <c r="H54" i="1"/>
  <c r="G54" i="1"/>
  <c r="F54" i="1"/>
  <c r="H53" i="1"/>
  <c r="G53" i="1"/>
  <c r="F53" i="1"/>
  <c r="H52" i="1"/>
  <c r="G52" i="1"/>
  <c r="F52" i="1"/>
  <c r="H51" i="1"/>
  <c r="G51" i="1"/>
  <c r="F51" i="1"/>
  <c r="H50" i="1"/>
  <c r="G50" i="1"/>
  <c r="F50" i="1"/>
  <c r="H112" i="1"/>
  <c r="Y44" i="43" s="1"/>
  <c r="G112" i="1"/>
  <c r="F112" i="1"/>
  <c r="H117" i="1"/>
  <c r="G117" i="1"/>
  <c r="F117" i="1"/>
  <c r="J51" i="1"/>
  <c r="J117" i="1"/>
  <c r="J139" i="1"/>
  <c r="J137" i="1"/>
  <c r="J3" i="1"/>
  <c r="J49" i="1"/>
  <c r="J20" i="1"/>
  <c r="J92" i="1"/>
  <c r="H64" i="8" s="1"/>
  <c r="J97" i="1"/>
  <c r="J99" i="1"/>
  <c r="J111" i="1"/>
  <c r="J108" i="1"/>
  <c r="J107" i="1"/>
  <c r="J106" i="1"/>
  <c r="J105" i="1"/>
  <c r="J120" i="1"/>
  <c r="H62" i="8" s="1"/>
  <c r="J119" i="1"/>
  <c r="J118" i="1"/>
  <c r="J135" i="1"/>
  <c r="J138" i="1"/>
  <c r="J142" i="1"/>
  <c r="J148" i="1"/>
  <c r="J169" i="1"/>
  <c r="H119" i="8" s="1"/>
  <c r="J168" i="1"/>
  <c r="H69" i="8" s="1"/>
  <c r="J167" i="1"/>
  <c r="J165" i="1"/>
  <c r="H67" i="8" s="1"/>
  <c r="J164" i="1"/>
  <c r="J163" i="1"/>
  <c r="J173" i="1"/>
  <c r="J172" i="1"/>
  <c r="H71" i="8" s="1"/>
  <c r="J174" i="1"/>
  <c r="H73" i="8" s="1"/>
  <c r="J185" i="1"/>
  <c r="J184" i="1"/>
  <c r="J183" i="1"/>
  <c r="J182" i="1"/>
  <c r="J181" i="1"/>
  <c r="J180" i="1"/>
  <c r="J179" i="1"/>
  <c r="J178" i="1"/>
  <c r="J189" i="1"/>
  <c r="J199" i="1"/>
  <c r="J200" i="1"/>
  <c r="J194" i="1"/>
  <c r="J196" i="1"/>
  <c r="J197" i="1"/>
  <c r="J206" i="1"/>
  <c r="H90" i="8" s="1"/>
  <c r="H206" i="1"/>
  <c r="G90" i="8" s="1"/>
  <c r="G206" i="1"/>
  <c r="F206" i="1"/>
  <c r="E90" i="8" s="1"/>
  <c r="H205" i="1"/>
  <c r="G205" i="1"/>
  <c r="F205" i="1"/>
  <c r="H204" i="1"/>
  <c r="G204" i="1"/>
  <c r="F204" i="1"/>
  <c r="H203" i="1"/>
  <c r="G203" i="1"/>
  <c r="F203" i="1"/>
  <c r="H202" i="1"/>
  <c r="G202" i="1"/>
  <c r="F202" i="1"/>
  <c r="H20" i="1"/>
  <c r="Y17" i="43" s="1"/>
  <c r="G20" i="1"/>
  <c r="F20" i="1"/>
  <c r="C44" i="23" l="1"/>
  <c r="AF44" i="43"/>
  <c r="X44" i="43"/>
  <c r="L44" i="43"/>
  <c r="AB44" i="43"/>
  <c r="AJ44" i="43" a="1"/>
  <c r="AJ44" i="43" s="1"/>
  <c r="AE44" i="43"/>
  <c r="W44" i="43"/>
  <c r="P44" i="43"/>
  <c r="AA44" i="43"/>
  <c r="V44" i="43"/>
  <c r="U44" i="43"/>
  <c r="R44" i="43"/>
  <c r="AC44" i="43"/>
  <c r="T44" i="43"/>
  <c r="AH44" i="43" a="1"/>
  <c r="AH44" i="43" s="1"/>
  <c r="Z44" i="43" a="1"/>
  <c r="Z44" i="43" s="1"/>
  <c r="S44" i="43"/>
  <c r="D44" i="43"/>
  <c r="M44" i="43"/>
  <c r="K44" i="43"/>
  <c r="N44" i="43"/>
  <c r="I44" i="43"/>
  <c r="J44" i="43"/>
  <c r="G44" i="43"/>
  <c r="E44" i="43"/>
  <c r="C44" i="43"/>
  <c r="AD44" i="43"/>
  <c r="Q44" i="43"/>
  <c r="O44" i="43"/>
  <c r="H44" i="43"/>
  <c r="F44" i="43"/>
  <c r="V17" i="43"/>
  <c r="F17" i="43"/>
  <c r="L17" i="43"/>
  <c r="T17" i="43"/>
  <c r="P17" i="43"/>
  <c r="X17" i="43"/>
  <c r="J17" i="43"/>
  <c r="AJ17" i="43" a="1"/>
  <c r="AJ17" i="43" s="1"/>
  <c r="G17" i="43"/>
  <c r="I17" i="43"/>
  <c r="U17" i="43"/>
  <c r="C17" i="43"/>
  <c r="AF17" i="43"/>
  <c r="AE17" i="43"/>
  <c r="O17" i="43"/>
  <c r="K17" i="43"/>
  <c r="R17" i="43"/>
  <c r="AD17" i="43"/>
  <c r="Z17" i="43" a="1"/>
  <c r="Z17" i="43" s="1"/>
  <c r="C17" i="23"/>
  <c r="D17" i="43"/>
  <c r="Q17" i="43"/>
  <c r="AA17" i="43"/>
  <c r="AC17" i="43"/>
  <c r="S17" i="43"/>
  <c r="AB17" i="43"/>
  <c r="AH17" i="43" a="1"/>
  <c r="AH17" i="43" s="1"/>
  <c r="M17" i="43"/>
  <c r="N17" i="43"/>
  <c r="W17" i="43"/>
  <c r="E17" i="43"/>
  <c r="H17" i="43"/>
  <c r="H74" i="8"/>
  <c r="E8" i="104"/>
  <c r="H117" i="8"/>
  <c r="H68" i="8"/>
  <c r="H72" i="8"/>
  <c r="H65" i="8"/>
  <c r="F90" i="8"/>
  <c r="H123" i="8"/>
  <c r="H89" i="8"/>
  <c r="H70" i="8"/>
  <c r="H84" i="8"/>
  <c r="H75" i="8"/>
  <c r="H66" i="8"/>
  <c r="H113" i="8"/>
  <c r="H114" i="8"/>
  <c r="H8" i="8"/>
  <c r="H86" i="8"/>
  <c r="H7" i="8"/>
  <c r="H87" i="8"/>
  <c r="H112" i="8"/>
  <c r="H120" i="8"/>
  <c r="H85" i="8"/>
  <c r="H121" i="8"/>
  <c r="H34" i="8"/>
  <c r="H83" i="8"/>
  <c r="H88" i="8"/>
  <c r="H35" i="8"/>
  <c r="H36" i="8"/>
  <c r="H40" i="8"/>
  <c r="H10" i="8"/>
  <c r="H55" i="8"/>
  <c r="H9" i="8"/>
  <c r="H39" i="8"/>
  <c r="H11" i="8"/>
  <c r="H79" i="8"/>
  <c r="H122" i="8"/>
  <c r="H60" i="8"/>
  <c r="H63" i="8"/>
  <c r="H118" i="8"/>
  <c r="H61" i="8"/>
  <c r="H12" i="8"/>
  <c r="H81" i="8"/>
  <c r="H82" i="8"/>
  <c r="H13" i="8"/>
  <c r="H31" i="8"/>
  <c r="H33" i="8"/>
  <c r="H56" i="8"/>
  <c r="H115" i="8"/>
  <c r="H41" i="8"/>
  <c r="H47" i="8"/>
  <c r="H49" i="8"/>
  <c r="H14" i="8"/>
  <c r="H25" i="8"/>
  <c r="H45" i="8"/>
  <c r="H15" i="8"/>
  <c r="H26" i="8"/>
  <c r="H17" i="8"/>
  <c r="H28" i="8"/>
  <c r="H58" i="8"/>
  <c r="H59" i="8"/>
  <c r="H22" i="8"/>
  <c r="H43" i="8"/>
  <c r="H18" i="8"/>
  <c r="H29" i="8"/>
  <c r="H30" i="8"/>
  <c r="H50" i="8"/>
  <c r="H19" i="8"/>
  <c r="H32" i="8"/>
  <c r="H20" i="8"/>
  <c r="H21" i="8"/>
  <c r="H42" i="8"/>
  <c r="H76" i="8"/>
  <c r="H78" i="8"/>
  <c r="H23" i="8"/>
  <c r="H57" i="8"/>
  <c r="H24" i="8"/>
  <c r="H44" i="8"/>
  <c r="H53" i="8"/>
  <c r="H54" i="8"/>
  <c r="H51" i="8"/>
  <c r="H52" i="8"/>
  <c r="H37" i="8"/>
  <c r="H38" i="8"/>
  <c r="H16" i="8"/>
  <c r="H27" i="8"/>
  <c r="H48" i="8"/>
  <c r="H46" i="8"/>
  <c r="H77" i="8"/>
  <c r="H80" i="8"/>
  <c r="H199" i="1"/>
  <c r="G199" i="1"/>
  <c r="F199" i="1"/>
  <c r="H200" i="1"/>
  <c r="G200" i="1"/>
  <c r="F200" i="1"/>
  <c r="E89" i="8" s="1"/>
  <c r="H194" i="1"/>
  <c r="G194" i="1"/>
  <c r="F194" i="1"/>
  <c r="H196" i="1"/>
  <c r="F196" i="1"/>
  <c r="H197" i="1"/>
  <c r="G197" i="1"/>
  <c r="F197" i="1"/>
  <c r="H198" i="1"/>
  <c r="G87" i="8" s="1"/>
  <c r="G198" i="1"/>
  <c r="F87" i="8" s="1"/>
  <c r="F198" i="1"/>
  <c r="E87" i="8" s="1"/>
  <c r="H191" i="1"/>
  <c r="G191" i="1"/>
  <c r="F191" i="1"/>
  <c r="H192" i="1"/>
  <c r="G192" i="1"/>
  <c r="F192" i="1"/>
  <c r="H193" i="1"/>
  <c r="G193" i="1"/>
  <c r="F193" i="1"/>
  <c r="H189" i="1"/>
  <c r="G189" i="1"/>
  <c r="D56" i="23" s="1"/>
  <c r="F189" i="1"/>
  <c r="H187" i="1"/>
  <c r="Y55" i="43" s="1"/>
  <c r="G187" i="1"/>
  <c r="F187" i="1"/>
  <c r="H179" i="1"/>
  <c r="G179" i="1"/>
  <c r="F179" i="1"/>
  <c r="H180" i="1"/>
  <c r="G180" i="1"/>
  <c r="F180" i="1"/>
  <c r="H181" i="1"/>
  <c r="G181" i="1"/>
  <c r="F181" i="1"/>
  <c r="H182" i="1"/>
  <c r="G182" i="1"/>
  <c r="F182" i="1"/>
  <c r="H183" i="1"/>
  <c r="G183" i="1"/>
  <c r="F183" i="1"/>
  <c r="H184" i="1"/>
  <c r="G184" i="1"/>
  <c r="F184" i="1"/>
  <c r="H185" i="1"/>
  <c r="G185" i="1"/>
  <c r="F185" i="1"/>
  <c r="H186" i="1"/>
  <c r="G186" i="1"/>
  <c r="F186" i="1"/>
  <c r="H174" i="1"/>
  <c r="G174" i="1"/>
  <c r="F174" i="1"/>
  <c r="H176" i="1"/>
  <c r="G176" i="1"/>
  <c r="F176" i="1"/>
  <c r="H177" i="1"/>
  <c r="G177" i="1"/>
  <c r="F177" i="1"/>
  <c r="H172" i="1"/>
  <c r="G172" i="1"/>
  <c r="E53" i="23" s="1"/>
  <c r="F172" i="1"/>
  <c r="H173" i="1"/>
  <c r="G173" i="1"/>
  <c r="F173" i="1"/>
  <c r="H170" i="1"/>
  <c r="G170" i="1"/>
  <c r="F170" i="1"/>
  <c r="H171" i="1"/>
  <c r="G171" i="1"/>
  <c r="F171" i="1"/>
  <c r="H163" i="1"/>
  <c r="G163" i="1"/>
  <c r="F163" i="1"/>
  <c r="H164" i="1"/>
  <c r="G164" i="1"/>
  <c r="C52" i="23" s="1"/>
  <c r="F164" i="1"/>
  <c r="H165" i="1"/>
  <c r="G165" i="1"/>
  <c r="E52" i="23" s="1"/>
  <c r="F165" i="1"/>
  <c r="H166" i="1"/>
  <c r="G166" i="1"/>
  <c r="F166" i="1"/>
  <c r="H167" i="1"/>
  <c r="G167" i="1"/>
  <c r="F167" i="1"/>
  <c r="H168" i="1"/>
  <c r="G168" i="1"/>
  <c r="F168" i="1"/>
  <c r="H169" i="1"/>
  <c r="G169" i="1"/>
  <c r="F169" i="1"/>
  <c r="H162" i="1"/>
  <c r="Y51" i="43" s="1"/>
  <c r="G162" i="1"/>
  <c r="F162" i="1"/>
  <c r="H148" i="1"/>
  <c r="G148" i="1"/>
  <c r="F148" i="1"/>
  <c r="H149" i="1"/>
  <c r="G149" i="1"/>
  <c r="F149" i="1"/>
  <c r="H150" i="1"/>
  <c r="G150" i="1"/>
  <c r="F150" i="1"/>
  <c r="H155" i="1"/>
  <c r="G155" i="1"/>
  <c r="F155" i="1"/>
  <c r="H157" i="1"/>
  <c r="G157" i="1"/>
  <c r="F157" i="1"/>
  <c r="H159" i="1"/>
  <c r="G159" i="1"/>
  <c r="F159" i="1"/>
  <c r="H160" i="1"/>
  <c r="G160" i="1"/>
  <c r="F160" i="1"/>
  <c r="H147" i="1"/>
  <c r="G147" i="1"/>
  <c r="F147" i="1"/>
  <c r="H142" i="1"/>
  <c r="G142" i="1"/>
  <c r="F142" i="1"/>
  <c r="H144" i="1"/>
  <c r="G144" i="1"/>
  <c r="F144" i="1"/>
  <c r="H145" i="1"/>
  <c r="G145" i="1"/>
  <c r="F145" i="1"/>
  <c r="H146" i="1"/>
  <c r="G146" i="1"/>
  <c r="F146" i="1"/>
  <c r="H139" i="1"/>
  <c r="G139" i="1"/>
  <c r="F139" i="1"/>
  <c r="H140" i="1"/>
  <c r="G140" i="1"/>
  <c r="F140" i="1"/>
  <c r="H141" i="1"/>
  <c r="G141" i="1"/>
  <c r="F141" i="1"/>
  <c r="H137" i="1"/>
  <c r="G137" i="1"/>
  <c r="F137" i="1"/>
  <c r="H138" i="1"/>
  <c r="G138" i="1"/>
  <c r="C47" i="23" s="1"/>
  <c r="F138" i="1"/>
  <c r="H121" i="1"/>
  <c r="G121" i="1"/>
  <c r="F121" i="1"/>
  <c r="E47" i="23" l="1"/>
  <c r="C48" i="23"/>
  <c r="C49" i="23"/>
  <c r="Y48" i="43"/>
  <c r="Y52" i="43"/>
  <c r="Y49" i="43"/>
  <c r="Y57" i="43"/>
  <c r="Y58" i="43"/>
  <c r="C53" i="23"/>
  <c r="AH53" i="43" a="1"/>
  <c r="AH53" i="43" s="1"/>
  <c r="O53" i="43"/>
  <c r="AA53" i="43"/>
  <c r="AD53" i="43"/>
  <c r="T53" i="43"/>
  <c r="AE53" i="43"/>
  <c r="AB53" i="43"/>
  <c r="AJ53" i="43" a="1"/>
  <c r="AJ53" i="43" s="1"/>
  <c r="Z53" i="43" a="1"/>
  <c r="Z53" i="43" s="1"/>
  <c r="AF53" i="43"/>
  <c r="X53" i="43"/>
  <c r="W53" i="43"/>
  <c r="G53" i="43"/>
  <c r="M53" i="43"/>
  <c r="Q53" i="43"/>
  <c r="V53" i="43"/>
  <c r="J53" i="43"/>
  <c r="E53" i="43"/>
  <c r="S53" i="43"/>
  <c r="L53" i="43"/>
  <c r="I53" i="43"/>
  <c r="F53" i="43"/>
  <c r="K53" i="43"/>
  <c r="C53" i="43"/>
  <c r="N53" i="43"/>
  <c r="P53" i="43"/>
  <c r="H53" i="43"/>
  <c r="D53" i="43"/>
  <c r="U53" i="43"/>
  <c r="AC53" i="43"/>
  <c r="R53" i="43"/>
  <c r="D58" i="23"/>
  <c r="Z58" i="43" a="1"/>
  <c r="Z58" i="43" s="1"/>
  <c r="N58" i="43"/>
  <c r="AJ58" i="43" a="1"/>
  <c r="AJ58" i="43" s="1"/>
  <c r="AC58" i="43"/>
  <c r="W58" i="43"/>
  <c r="V58" i="43"/>
  <c r="U58" i="43"/>
  <c r="AH58" i="43" a="1"/>
  <c r="AH58" i="43" s="1"/>
  <c r="AE58" i="43"/>
  <c r="T58" i="43"/>
  <c r="AB58" i="43"/>
  <c r="AD58" i="43"/>
  <c r="AF58" i="43"/>
  <c r="F58" i="43"/>
  <c r="K58" i="43"/>
  <c r="D58" i="43"/>
  <c r="R58" i="43"/>
  <c r="Q58" i="43"/>
  <c r="G58" i="43"/>
  <c r="O58" i="43"/>
  <c r="S58" i="43"/>
  <c r="C58" i="43"/>
  <c r="X58" i="43"/>
  <c r="L58" i="43"/>
  <c r="J58" i="43"/>
  <c r="E58" i="43"/>
  <c r="M58" i="43"/>
  <c r="I58" i="43"/>
  <c r="AA58" i="43"/>
  <c r="P58" i="43"/>
  <c r="H58" i="43"/>
  <c r="Y53" i="43"/>
  <c r="D53" i="23"/>
  <c r="E54" i="23"/>
  <c r="D54" i="23"/>
  <c r="AJ54" i="43" a="1"/>
  <c r="AJ54" i="43" s="1"/>
  <c r="AD54" i="43"/>
  <c r="AC54" i="43"/>
  <c r="M54" i="43"/>
  <c r="D54" i="43"/>
  <c r="V54" i="43"/>
  <c r="Q54" i="43"/>
  <c r="H54" i="43"/>
  <c r="J54" i="43"/>
  <c r="W54" i="43"/>
  <c r="F54" i="43"/>
  <c r="AE54" i="43"/>
  <c r="G54" i="43"/>
  <c r="AF54" i="43"/>
  <c r="C54" i="43"/>
  <c r="AA54" i="43"/>
  <c r="P54" i="43"/>
  <c r="N54" i="43"/>
  <c r="R54" i="43"/>
  <c r="X54" i="43"/>
  <c r="K54" i="43"/>
  <c r="O54" i="43"/>
  <c r="Z54" i="43" a="1"/>
  <c r="Z54" i="43" s="1"/>
  <c r="L54" i="43"/>
  <c r="U54" i="43"/>
  <c r="AH54" i="43" a="1"/>
  <c r="AH54" i="43" s="1"/>
  <c r="E54" i="43"/>
  <c r="T54" i="43"/>
  <c r="S54" i="43"/>
  <c r="AB54" i="43"/>
  <c r="I54" i="43"/>
  <c r="Y54" i="43"/>
  <c r="D48" i="23"/>
  <c r="P48" i="43"/>
  <c r="AC48" i="43"/>
  <c r="AF48" i="43"/>
  <c r="AD48" i="43"/>
  <c r="AJ48" i="43" a="1"/>
  <c r="AJ48" i="43" s="1"/>
  <c r="S48" i="43"/>
  <c r="Z48" i="43" a="1"/>
  <c r="Z48" i="43" s="1"/>
  <c r="M48" i="43"/>
  <c r="X48" i="43"/>
  <c r="AA48" i="43"/>
  <c r="W48" i="43"/>
  <c r="U48" i="43"/>
  <c r="AH48" i="43" a="1"/>
  <c r="AH48" i="43" s="1"/>
  <c r="AE48" i="43"/>
  <c r="G48" i="43"/>
  <c r="E48" i="43"/>
  <c r="H48" i="43"/>
  <c r="F48" i="43"/>
  <c r="AB48" i="43"/>
  <c r="T48" i="43"/>
  <c r="D48" i="43"/>
  <c r="V48" i="43"/>
  <c r="C48" i="43"/>
  <c r="R48" i="43"/>
  <c r="N48" i="43"/>
  <c r="K48" i="43"/>
  <c r="O48" i="43"/>
  <c r="Q48" i="43"/>
  <c r="J48" i="43"/>
  <c r="L48" i="43"/>
  <c r="I48" i="43"/>
  <c r="D49" i="23"/>
  <c r="AE49" i="43"/>
  <c r="W49" i="43"/>
  <c r="K49" i="43"/>
  <c r="X49" i="43"/>
  <c r="Z49" i="43" a="1"/>
  <c r="Z49" i="43" s="1"/>
  <c r="AF49" i="43"/>
  <c r="AA49" i="43"/>
  <c r="U49" i="43"/>
  <c r="AB49" i="43"/>
  <c r="AD49" i="43"/>
  <c r="AJ49" i="43" a="1"/>
  <c r="AJ49" i="43" s="1"/>
  <c r="S49" i="43"/>
  <c r="Q49" i="43"/>
  <c r="AC49" i="43"/>
  <c r="O49" i="43"/>
  <c r="C49" i="43"/>
  <c r="I49" i="43"/>
  <c r="P49" i="43"/>
  <c r="J49" i="43"/>
  <c r="H49" i="43"/>
  <c r="F49" i="43"/>
  <c r="M49" i="43"/>
  <c r="D49" i="43"/>
  <c r="R49" i="43"/>
  <c r="T49" i="43"/>
  <c r="N49" i="43"/>
  <c r="G49" i="43"/>
  <c r="AH49" i="43" a="1"/>
  <c r="AH49" i="43" s="1"/>
  <c r="V49" i="43"/>
  <c r="E49" i="43"/>
  <c r="L49" i="43"/>
  <c r="D52" i="23"/>
  <c r="AB52" i="43"/>
  <c r="T52" i="43"/>
  <c r="H52" i="43"/>
  <c r="AJ52" i="43" a="1"/>
  <c r="AJ52" i="43" s="1"/>
  <c r="AD52" i="43"/>
  <c r="AE52" i="43"/>
  <c r="AH52" i="43" a="1"/>
  <c r="AH52" i="43" s="1"/>
  <c r="N52" i="43"/>
  <c r="Z52" i="43" a="1"/>
  <c r="Z52" i="43" s="1"/>
  <c r="S52" i="43"/>
  <c r="Q52" i="43"/>
  <c r="M52" i="43"/>
  <c r="AF52" i="43"/>
  <c r="AA52" i="43"/>
  <c r="V52" i="43"/>
  <c r="J52" i="43"/>
  <c r="C52" i="43"/>
  <c r="U52" i="43"/>
  <c r="W52" i="43"/>
  <c r="X52" i="43"/>
  <c r="E52" i="43"/>
  <c r="L52" i="43"/>
  <c r="I52" i="43"/>
  <c r="AC52" i="43"/>
  <c r="O52" i="43"/>
  <c r="R52" i="43"/>
  <c r="G52" i="43"/>
  <c r="P52" i="43"/>
  <c r="F52" i="43"/>
  <c r="K52" i="43"/>
  <c r="D52" i="43"/>
  <c r="C54" i="23"/>
  <c r="D55" i="23"/>
  <c r="Q55" i="43"/>
  <c r="AH55" i="43" a="1"/>
  <c r="AH55" i="43" s="1"/>
  <c r="AB55" i="43"/>
  <c r="Z55" i="43" a="1"/>
  <c r="Z55" i="43" s="1"/>
  <c r="W55" i="43"/>
  <c r="R55" i="43"/>
  <c r="AE55" i="43"/>
  <c r="T55" i="43"/>
  <c r="AD55" i="43"/>
  <c r="N55" i="43"/>
  <c r="AA55" i="43"/>
  <c r="K55" i="43"/>
  <c r="V55" i="43"/>
  <c r="J55" i="43"/>
  <c r="G55" i="43"/>
  <c r="AC55" i="43"/>
  <c r="AJ55" i="43" a="1"/>
  <c r="AJ55" i="43" s="1"/>
  <c r="X55" i="43"/>
  <c r="C55" i="43"/>
  <c r="O55" i="43"/>
  <c r="L55" i="43"/>
  <c r="E55" i="43"/>
  <c r="I55" i="43"/>
  <c r="S55" i="43"/>
  <c r="AF55" i="43"/>
  <c r="D55" i="43"/>
  <c r="P55" i="43"/>
  <c r="M55" i="43"/>
  <c r="H55" i="43"/>
  <c r="F55" i="43"/>
  <c r="U55" i="43"/>
  <c r="D57" i="23"/>
  <c r="AJ57" i="43" a="1"/>
  <c r="AJ57" i="43" s="1"/>
  <c r="AA57" i="43"/>
  <c r="S57" i="43"/>
  <c r="AB57" i="43"/>
  <c r="Z57" i="43" a="1"/>
  <c r="Z57" i="43" s="1"/>
  <c r="AE57" i="43"/>
  <c r="AF57" i="43"/>
  <c r="P57" i="43"/>
  <c r="AC57" i="43"/>
  <c r="V57" i="43"/>
  <c r="U57" i="43"/>
  <c r="AH57" i="43" a="1"/>
  <c r="AH57" i="43" s="1"/>
  <c r="L57" i="43"/>
  <c r="R57" i="43"/>
  <c r="T57" i="43"/>
  <c r="AD57" i="43"/>
  <c r="N57" i="43"/>
  <c r="I57" i="43"/>
  <c r="K57" i="43"/>
  <c r="D57" i="43"/>
  <c r="E57" i="43"/>
  <c r="Q57" i="43"/>
  <c r="W57" i="43"/>
  <c r="X57" i="43"/>
  <c r="J57" i="43"/>
  <c r="G57" i="43"/>
  <c r="F57" i="43"/>
  <c r="O57" i="43"/>
  <c r="C57" i="43"/>
  <c r="M57" i="43"/>
  <c r="H57" i="43"/>
  <c r="E49" i="23"/>
  <c r="M51" i="43"/>
  <c r="AF51" i="43"/>
  <c r="F51" i="43"/>
  <c r="W51" i="43"/>
  <c r="C51" i="23"/>
  <c r="X51" i="43"/>
  <c r="U51" i="43"/>
  <c r="AA51" i="43"/>
  <c r="E51" i="43"/>
  <c r="K51" i="43"/>
  <c r="R51" i="43"/>
  <c r="AJ51" i="43" a="1"/>
  <c r="AJ51" i="43" s="1"/>
  <c r="T51" i="43"/>
  <c r="H51" i="43"/>
  <c r="AC51" i="43"/>
  <c r="L51" i="43"/>
  <c r="N51" i="43"/>
  <c r="AH51" i="43" a="1"/>
  <c r="AH51" i="43" s="1"/>
  <c r="I51" i="43"/>
  <c r="V51" i="43"/>
  <c r="O51" i="43"/>
  <c r="Q51" i="43"/>
  <c r="AE51" i="43"/>
  <c r="C51" i="43"/>
  <c r="G51" i="43"/>
  <c r="AB51" i="43"/>
  <c r="D51" i="43"/>
  <c r="AD51" i="43"/>
  <c r="J51" i="43"/>
  <c r="P51" i="43"/>
  <c r="Z51" i="43" a="1"/>
  <c r="Z51" i="43" s="1"/>
  <c r="S51" i="43"/>
  <c r="D47" i="23"/>
  <c r="AC47" i="43"/>
  <c r="U47" i="43"/>
  <c r="I47" i="43"/>
  <c r="AB47" i="43"/>
  <c r="X47" i="43"/>
  <c r="AD47" i="43"/>
  <c r="S47" i="43"/>
  <c r="Q47" i="43"/>
  <c r="Z47" i="43" a="1"/>
  <c r="Z47" i="43" s="1"/>
  <c r="AF47" i="43"/>
  <c r="AA47" i="43"/>
  <c r="W47" i="43"/>
  <c r="V47" i="43"/>
  <c r="R47" i="43"/>
  <c r="L47" i="43"/>
  <c r="AH47" i="43" a="1"/>
  <c r="AH47" i="43" s="1"/>
  <c r="AJ47" i="43" a="1"/>
  <c r="AJ47" i="43" s="1"/>
  <c r="G47" i="43"/>
  <c r="P47" i="43"/>
  <c r="H47" i="43"/>
  <c r="F47" i="43"/>
  <c r="D47" i="43"/>
  <c r="J47" i="43"/>
  <c r="C47" i="43"/>
  <c r="T47" i="43"/>
  <c r="M47" i="43"/>
  <c r="N47" i="43"/>
  <c r="K47" i="43"/>
  <c r="AE47" i="43"/>
  <c r="E47" i="43"/>
  <c r="O47" i="43"/>
  <c r="Y47" i="43"/>
  <c r="F77" i="8"/>
  <c r="G82" i="8"/>
  <c r="E82" i="8"/>
  <c r="F82" i="8"/>
  <c r="G72" i="8"/>
  <c r="F123" i="8"/>
  <c r="F89" i="8"/>
  <c r="F72" i="8"/>
  <c r="G123" i="8"/>
  <c r="G89" i="8"/>
  <c r="E72" i="8"/>
  <c r="G73" i="8"/>
  <c r="G66" i="8"/>
  <c r="G68" i="8"/>
  <c r="E68" i="8"/>
  <c r="E66" i="8"/>
  <c r="E73" i="8"/>
  <c r="F68" i="8"/>
  <c r="F73" i="8"/>
  <c r="G81" i="8"/>
  <c r="G70" i="8"/>
  <c r="E69" i="8"/>
  <c r="G69" i="8"/>
  <c r="G74" i="8"/>
  <c r="E71" i="8"/>
  <c r="G71" i="8"/>
  <c r="E77" i="8"/>
  <c r="E70" i="8"/>
  <c r="E75" i="8"/>
  <c r="E81" i="8"/>
  <c r="F84" i="8"/>
  <c r="E74" i="8"/>
  <c r="F70" i="8"/>
  <c r="F81" i="8"/>
  <c r="G84" i="8"/>
  <c r="F78" i="8"/>
  <c r="G85" i="8"/>
  <c r="G88" i="8"/>
  <c r="F74" i="8"/>
  <c r="E119" i="8"/>
  <c r="E80" i="8"/>
  <c r="F67" i="8"/>
  <c r="F119" i="8"/>
  <c r="F80" i="8"/>
  <c r="F83" i="8"/>
  <c r="G67" i="8"/>
  <c r="G119" i="8"/>
  <c r="G80" i="8"/>
  <c r="G83" i="8"/>
  <c r="G77" i="8"/>
  <c r="E85" i="8"/>
  <c r="E88" i="8"/>
  <c r="E79" i="8"/>
  <c r="F66" i="8"/>
  <c r="E78" i="8"/>
  <c r="F79" i="8"/>
  <c r="G75" i="8"/>
  <c r="E9" i="8"/>
  <c r="E123" i="8"/>
  <c r="F71" i="8"/>
  <c r="F85" i="8"/>
  <c r="F88" i="8"/>
  <c r="E67" i="8"/>
  <c r="E83" i="8"/>
  <c r="E76" i="8"/>
  <c r="F76" i="8"/>
  <c r="G76" i="8"/>
  <c r="G79" i="8"/>
  <c r="E84" i="8"/>
  <c r="G78" i="8"/>
  <c r="F75" i="8"/>
  <c r="F69" i="8"/>
  <c r="G11" i="8"/>
  <c r="E10" i="8"/>
  <c r="F12" i="8"/>
  <c r="E31" i="8"/>
  <c r="F30" i="8"/>
  <c r="E13" i="8"/>
  <c r="G30" i="8"/>
  <c r="F31" i="8"/>
  <c r="F18" i="8"/>
  <c r="E18" i="8"/>
  <c r="E32" i="8"/>
  <c r="E25" i="8"/>
  <c r="E21" i="8"/>
  <c r="E15" i="8"/>
  <c r="F28" i="8"/>
  <c r="F23" i="8"/>
  <c r="F21" i="8"/>
  <c r="F19" i="8"/>
  <c r="F15" i="8"/>
  <c r="E36" i="8"/>
  <c r="E28" i="8"/>
  <c r="E23" i="8"/>
  <c r="E19" i="8"/>
  <c r="F32" i="8"/>
  <c r="F25" i="8"/>
  <c r="E33" i="8"/>
  <c r="F33" i="8"/>
  <c r="E26" i="8"/>
  <c r="E16" i="8"/>
  <c r="G33" i="8"/>
  <c r="G34" i="8"/>
  <c r="E24" i="8"/>
  <c r="F24" i="8"/>
  <c r="E22" i="8"/>
  <c r="F27" i="8"/>
  <c r="F34" i="8"/>
  <c r="E27" i="8"/>
  <c r="E35" i="8"/>
  <c r="E34" i="8"/>
  <c r="F35" i="8"/>
  <c r="E29" i="8"/>
  <c r="E30" i="8"/>
  <c r="G35" i="8"/>
  <c r="E12" i="8"/>
  <c r="E8" i="8"/>
  <c r="G8" i="8"/>
  <c r="F36" i="8"/>
  <c r="G10" i="8"/>
  <c r="G36" i="8"/>
  <c r="F9" i="8"/>
  <c r="F29" i="8"/>
  <c r="F13" i="8"/>
  <c r="G9" i="8"/>
  <c r="G29" i="8"/>
  <c r="G26" i="8"/>
  <c r="G16" i="8"/>
  <c r="G13" i="8"/>
  <c r="F8" i="8"/>
  <c r="G24" i="8"/>
  <c r="F16" i="8"/>
  <c r="G31" i="8"/>
  <c r="G18" i="8"/>
  <c r="G32" i="8"/>
  <c r="G28" i="8"/>
  <c r="G25" i="8"/>
  <c r="G23" i="8"/>
  <c r="G21" i="8"/>
  <c r="G19" i="8"/>
  <c r="G15" i="8"/>
  <c r="G12" i="8"/>
  <c r="G27" i="8"/>
  <c r="F10" i="8"/>
  <c r="F26" i="8"/>
  <c r="E11" i="8"/>
  <c r="F11" i="8"/>
  <c r="F123" i="1"/>
  <c r="G123" i="1"/>
  <c r="H123" i="1"/>
  <c r="F124" i="1"/>
  <c r="G124" i="1"/>
  <c r="H124" i="1"/>
  <c r="F125" i="1"/>
  <c r="G125" i="1"/>
  <c r="H125" i="1"/>
  <c r="F126" i="1"/>
  <c r="G126" i="1"/>
  <c r="H126" i="1"/>
  <c r="F127" i="1"/>
  <c r="G127" i="1"/>
  <c r="H127" i="1"/>
  <c r="F128" i="1"/>
  <c r="G128" i="1"/>
  <c r="H128" i="1"/>
  <c r="F129" i="1"/>
  <c r="G129" i="1"/>
  <c r="H129" i="1"/>
  <c r="F130" i="1"/>
  <c r="G130" i="1"/>
  <c r="H130" i="1"/>
  <c r="F131" i="1"/>
  <c r="G131" i="1"/>
  <c r="H131" i="1"/>
  <c r="F132" i="1"/>
  <c r="G132" i="1"/>
  <c r="H132" i="1"/>
  <c r="F133" i="1"/>
  <c r="G133" i="1"/>
  <c r="H133" i="1"/>
  <c r="F134" i="1"/>
  <c r="G134" i="1"/>
  <c r="H134" i="1"/>
  <c r="H135" i="1"/>
  <c r="G135" i="1"/>
  <c r="F135" i="1"/>
  <c r="H136" i="1"/>
  <c r="G136" i="1"/>
  <c r="F136" i="1"/>
  <c r="H118" i="1"/>
  <c r="G118" i="1"/>
  <c r="F118" i="1"/>
  <c r="H119" i="1"/>
  <c r="G119" i="1"/>
  <c r="C45" i="23" s="1"/>
  <c r="F119" i="1"/>
  <c r="H120" i="1"/>
  <c r="G120" i="1"/>
  <c r="F120" i="1"/>
  <c r="H115" i="1"/>
  <c r="G115" i="1"/>
  <c r="F115" i="1"/>
  <c r="H116" i="1"/>
  <c r="G116" i="1"/>
  <c r="F116" i="1"/>
  <c r="H105" i="1"/>
  <c r="G105" i="1"/>
  <c r="F105" i="1"/>
  <c r="H106" i="1"/>
  <c r="G106" i="1"/>
  <c r="F106" i="1"/>
  <c r="H107" i="1"/>
  <c r="G107" i="1"/>
  <c r="F107" i="1"/>
  <c r="H108" i="1"/>
  <c r="G108" i="1"/>
  <c r="F108" i="1"/>
  <c r="H109" i="1"/>
  <c r="G109" i="1"/>
  <c r="F109" i="1"/>
  <c r="H110" i="1"/>
  <c r="G110" i="1"/>
  <c r="F110" i="1"/>
  <c r="H111" i="1"/>
  <c r="G111" i="1"/>
  <c r="F111" i="1"/>
  <c r="H101" i="1"/>
  <c r="G101" i="1"/>
  <c r="F101" i="1"/>
  <c r="H102" i="1"/>
  <c r="G102" i="1"/>
  <c r="F102" i="1"/>
  <c r="H103" i="1"/>
  <c r="G122" i="8" s="1"/>
  <c r="G103" i="1"/>
  <c r="F122" i="8" s="1"/>
  <c r="F103" i="1"/>
  <c r="H104" i="1"/>
  <c r="G104" i="1"/>
  <c r="F104" i="1"/>
  <c r="H99" i="1"/>
  <c r="G99" i="1"/>
  <c r="F99" i="1"/>
  <c r="E41" i="8" s="1"/>
  <c r="H100" i="1"/>
  <c r="G100" i="1"/>
  <c r="F100" i="1"/>
  <c r="H97" i="1"/>
  <c r="G97" i="1"/>
  <c r="F97" i="1"/>
  <c r="H98" i="1"/>
  <c r="G98" i="1"/>
  <c r="F98" i="1"/>
  <c r="H93" i="1"/>
  <c r="G93" i="1"/>
  <c r="F93" i="1"/>
  <c r="H94" i="1"/>
  <c r="G94" i="1"/>
  <c r="F94" i="1"/>
  <c r="H95" i="1"/>
  <c r="G95" i="1"/>
  <c r="F95" i="1"/>
  <c r="H96" i="1"/>
  <c r="G96" i="1"/>
  <c r="F96" i="1"/>
  <c r="E39" i="8" s="1"/>
  <c r="H91" i="1"/>
  <c r="G91" i="1"/>
  <c r="F91" i="1"/>
  <c r="E37" i="8" s="1"/>
  <c r="H92" i="1"/>
  <c r="G38" i="8" s="1"/>
  <c r="G92" i="1"/>
  <c r="C36" i="23" s="1"/>
  <c r="F92" i="1"/>
  <c r="E38" i="8" s="1"/>
  <c r="H90" i="1"/>
  <c r="G121" i="8" s="1"/>
  <c r="G90" i="1"/>
  <c r="F121" i="8" s="1"/>
  <c r="F90" i="1"/>
  <c r="H83" i="1"/>
  <c r="G83" i="1"/>
  <c r="F83" i="1"/>
  <c r="H86" i="1"/>
  <c r="G86" i="1"/>
  <c r="F86" i="1"/>
  <c r="H87" i="1"/>
  <c r="G87" i="1"/>
  <c r="F87" i="1"/>
  <c r="H88" i="1"/>
  <c r="G88" i="1"/>
  <c r="F88" i="1"/>
  <c r="H89" i="1"/>
  <c r="G89" i="1"/>
  <c r="F89" i="1"/>
  <c r="H82" i="1"/>
  <c r="Y34" i="43" s="1"/>
  <c r="G82" i="1"/>
  <c r="F82" i="1"/>
  <c r="H84" i="1"/>
  <c r="G120" i="8" s="1"/>
  <c r="G84" i="1"/>
  <c r="F120" i="8" s="1"/>
  <c r="F84" i="1"/>
  <c r="E120" i="8" s="1"/>
  <c r="H49" i="1"/>
  <c r="Y24" i="43" s="1"/>
  <c r="G49" i="1"/>
  <c r="F49" i="1"/>
  <c r="E20" i="8" s="1"/>
  <c r="H2" i="1"/>
  <c r="Y11" i="43" s="1"/>
  <c r="G2" i="1"/>
  <c r="F2" i="1"/>
  <c r="F188" i="1"/>
  <c r="G188" i="1"/>
  <c r="H188" i="1"/>
  <c r="Y56" i="43" s="1"/>
  <c r="G8" i="105" l="1"/>
  <c r="F8" i="105"/>
  <c r="E8" i="105"/>
  <c r="L8" i="105"/>
  <c r="K8" i="105"/>
  <c r="J8" i="105"/>
  <c r="H8" i="105"/>
  <c r="I8" i="105"/>
  <c r="D12" i="99"/>
  <c r="D10" i="99"/>
  <c r="D7" i="99"/>
  <c r="D8" i="99"/>
  <c r="D9" i="99"/>
  <c r="D11" i="99"/>
  <c r="E112" i="8"/>
  <c r="C7" i="36"/>
  <c r="C7" i="21" a="1"/>
  <c r="C7" i="21" s="1"/>
  <c r="C16" i="21" a="1"/>
  <c r="C16" i="21" s="1"/>
  <c r="C24" i="21" a="1"/>
  <c r="C24" i="21" s="1"/>
  <c r="C40" i="21" a="1"/>
  <c r="C40" i="21" s="1"/>
  <c r="C51" i="21" a="1"/>
  <c r="C51" i="21" s="1"/>
  <c r="C46" i="21" a="1"/>
  <c r="C46" i="21" s="1"/>
  <c r="C37" i="21" a="1"/>
  <c r="C37" i="21" s="1"/>
  <c r="C49" i="21" a="1"/>
  <c r="C49" i="21" s="1"/>
  <c r="C15" i="21" a="1"/>
  <c r="C15" i="21" s="1"/>
  <c r="C8" i="21" a="1"/>
  <c r="C8" i="21" s="1"/>
  <c r="C17" i="21" a="1"/>
  <c r="C17" i="21" s="1"/>
  <c r="C32" i="21" a="1"/>
  <c r="C32" i="21" s="1"/>
  <c r="C41" i="21" a="1"/>
  <c r="C41" i="21" s="1"/>
  <c r="C52" i="21" a="1"/>
  <c r="C52" i="21" s="1"/>
  <c r="C58" i="21" a="1"/>
  <c r="C58" i="21" s="1"/>
  <c r="C61" i="21" a="1"/>
  <c r="C61" i="21" s="1"/>
  <c r="C9" i="21" a="1"/>
  <c r="C9" i="21" s="1"/>
  <c r="C25" i="21" a="1"/>
  <c r="C25" i="21" s="1"/>
  <c r="C33" i="21" a="1"/>
  <c r="C33" i="21" s="1"/>
  <c r="C53" i="21" a="1"/>
  <c r="C53" i="21" s="1"/>
  <c r="C47" i="21" a="1"/>
  <c r="C47" i="21" s="1"/>
  <c r="C31" i="21" a="1"/>
  <c r="C31" i="21" s="1"/>
  <c r="C10" i="21" a="1"/>
  <c r="C10" i="21" s="1"/>
  <c r="C18" i="21" a="1"/>
  <c r="C18" i="21" s="1"/>
  <c r="C34" i="21" a="1"/>
  <c r="C34" i="21" s="1"/>
  <c r="C42" i="21" a="1"/>
  <c r="C42" i="21" s="1"/>
  <c r="C54" i="21" a="1"/>
  <c r="C54" i="21" s="1"/>
  <c r="C27" i="21" a="1"/>
  <c r="C27" i="21" s="1"/>
  <c r="C44" i="21" a="1"/>
  <c r="C44" i="21" s="1"/>
  <c r="C28" i="21" a="1"/>
  <c r="C28" i="21" s="1"/>
  <c r="C45" i="21" a="1"/>
  <c r="C45" i="21" s="1"/>
  <c r="C29" i="21" a="1"/>
  <c r="C29" i="21" s="1"/>
  <c r="C13" i="21" a="1"/>
  <c r="C13" i="21" s="1"/>
  <c r="C23" i="21" a="1"/>
  <c r="C23" i="21" s="1"/>
  <c r="C50" i="21" a="1"/>
  <c r="C50" i="21" s="1"/>
  <c r="C11" i="21" a="1"/>
  <c r="C11" i="21" s="1"/>
  <c r="C26" i="21" a="1"/>
  <c r="C26" i="21" s="1"/>
  <c r="C35" i="21" a="1"/>
  <c r="C35" i="21" s="1"/>
  <c r="C43" i="21" a="1"/>
  <c r="C43" i="21" s="1"/>
  <c r="C55" i="21" a="1"/>
  <c r="C55" i="21" s="1"/>
  <c r="C19" i="21" a="1"/>
  <c r="C19" i="21" s="1"/>
  <c r="C56" i="21" a="1"/>
  <c r="C56" i="21" s="1"/>
  <c r="C12" i="21" a="1"/>
  <c r="C12" i="21" s="1"/>
  <c r="C36" i="21" a="1"/>
  <c r="C36" i="21" s="1"/>
  <c r="C57" i="21" a="1"/>
  <c r="C57" i="21" s="1"/>
  <c r="C20" i="21" a="1"/>
  <c r="C20" i="21" s="1"/>
  <c r="C21" i="21" a="1"/>
  <c r="C21" i="21" s="1"/>
  <c r="C38" i="21" a="1"/>
  <c r="C38" i="21" s="1"/>
  <c r="C39" i="21" a="1"/>
  <c r="C39" i="21" s="1"/>
  <c r="C59" i="21" a="1"/>
  <c r="C59" i="21" s="1"/>
  <c r="C22" i="21" a="1"/>
  <c r="C22" i="21" s="1"/>
  <c r="C30" i="21" a="1"/>
  <c r="C30" i="21" s="1"/>
  <c r="C48" i="21" a="1"/>
  <c r="C48" i="21" s="1"/>
  <c r="C60" i="21" a="1"/>
  <c r="C60" i="21" s="1"/>
  <c r="C14" i="21" a="1"/>
  <c r="C14" i="21" s="1"/>
  <c r="AA46" i="43"/>
  <c r="Y46" i="43"/>
  <c r="AE46" i="43"/>
  <c r="Y36" i="43"/>
  <c r="Y37" i="43"/>
  <c r="Y41" i="43"/>
  <c r="Q46" i="43"/>
  <c r="M46" i="43"/>
  <c r="AJ46" i="43" a="1"/>
  <c r="AJ46" i="43" s="1"/>
  <c r="J46" i="43"/>
  <c r="Z46" i="43" a="1"/>
  <c r="Z46" i="43" s="1"/>
  <c r="G41" i="8"/>
  <c r="Y40" i="43"/>
  <c r="D45" i="23"/>
  <c r="AH45" i="43" a="1"/>
  <c r="AH45" i="43" s="1"/>
  <c r="AA45" i="43"/>
  <c r="S45" i="43"/>
  <c r="G45" i="43"/>
  <c r="AC45" i="43"/>
  <c r="X45" i="43"/>
  <c r="W45" i="43"/>
  <c r="AF45" i="43"/>
  <c r="V45" i="43"/>
  <c r="U45" i="43"/>
  <c r="R45" i="43"/>
  <c r="T45" i="43"/>
  <c r="AE45" i="43"/>
  <c r="AD45" i="43"/>
  <c r="AB45" i="43"/>
  <c r="P45" i="43"/>
  <c r="E45" i="43"/>
  <c r="F45" i="43"/>
  <c r="D45" i="43"/>
  <c r="M45" i="43"/>
  <c r="K45" i="43"/>
  <c r="N45" i="43"/>
  <c r="H45" i="43"/>
  <c r="J45" i="43"/>
  <c r="O45" i="43"/>
  <c r="Z45" i="43" a="1"/>
  <c r="Z45" i="43" s="1"/>
  <c r="Q45" i="43"/>
  <c r="L45" i="43"/>
  <c r="I45" i="43"/>
  <c r="C45" i="43"/>
  <c r="AJ45" i="43" a="1"/>
  <c r="AJ45" i="43" s="1"/>
  <c r="AD46" i="43"/>
  <c r="F46" i="43"/>
  <c r="AB46" i="43"/>
  <c r="C35" i="23"/>
  <c r="AC35" i="43"/>
  <c r="U35" i="43"/>
  <c r="I35" i="43"/>
  <c r="AJ35" i="43" a="1"/>
  <c r="AJ35" i="43" s="1"/>
  <c r="AH35" i="43" a="1"/>
  <c r="AH35" i="43" s="1"/>
  <c r="AF35" i="43"/>
  <c r="AD35" i="43"/>
  <c r="Z35" i="43" a="1"/>
  <c r="Z35" i="43" s="1"/>
  <c r="Q35" i="43"/>
  <c r="AE35" i="43"/>
  <c r="S35" i="43"/>
  <c r="M35" i="43"/>
  <c r="AB35" i="43"/>
  <c r="X35" i="43"/>
  <c r="W35" i="43"/>
  <c r="R35" i="43"/>
  <c r="AA35" i="43"/>
  <c r="L35" i="43"/>
  <c r="O35" i="43"/>
  <c r="F35" i="43"/>
  <c r="V35" i="43"/>
  <c r="H35" i="43"/>
  <c r="D35" i="43"/>
  <c r="G35" i="43"/>
  <c r="C35" i="43"/>
  <c r="P35" i="43"/>
  <c r="N35" i="43"/>
  <c r="K35" i="43"/>
  <c r="J35" i="43"/>
  <c r="E35" i="43"/>
  <c r="T35" i="43"/>
  <c r="Y45" i="43"/>
  <c r="G46" i="43"/>
  <c r="H46" i="43"/>
  <c r="AH46" i="43" a="1"/>
  <c r="AH46" i="43" s="1"/>
  <c r="Y35" i="43"/>
  <c r="R46" i="43"/>
  <c r="O46" i="43"/>
  <c r="AF46" i="43"/>
  <c r="F11" i="15" a="1"/>
  <c r="F11" i="15" s="1"/>
  <c r="F24" i="15" a="1"/>
  <c r="F24" i="15" s="1"/>
  <c r="F37" i="15" a="1"/>
  <c r="F37" i="15" s="1"/>
  <c r="F50" i="15" a="1"/>
  <c r="F50" i="15" s="1"/>
  <c r="F57" i="15" a="1"/>
  <c r="F57" i="15" s="1"/>
  <c r="E17" i="15" a="1"/>
  <c r="E17" i="15" s="1"/>
  <c r="E30" i="15" a="1"/>
  <c r="E30" i="15" s="1"/>
  <c r="E43" i="15" a="1"/>
  <c r="E43" i="15" s="1"/>
  <c r="E57" i="15" a="1"/>
  <c r="E57" i="15" s="1"/>
  <c r="D18" i="15" a="1"/>
  <c r="D18" i="15" s="1"/>
  <c r="D31" i="15" a="1"/>
  <c r="D31" i="15" s="1"/>
  <c r="D44" i="15" a="1"/>
  <c r="D44" i="15" s="1"/>
  <c r="D51" i="15" a="1"/>
  <c r="D51" i="15" s="1"/>
  <c r="C10" i="15" a="1"/>
  <c r="C10" i="15" s="1"/>
  <c r="C17" i="15" a="1"/>
  <c r="C17" i="15" s="1"/>
  <c r="C24" i="15" a="1"/>
  <c r="C24" i="15" s="1"/>
  <c r="C31" i="15" a="1"/>
  <c r="C31" i="15" s="1"/>
  <c r="C38" i="15" a="1"/>
  <c r="C38" i="15" s="1"/>
  <c r="C46" i="15" a="1"/>
  <c r="C46" i="15" s="1"/>
  <c r="C53" i="15" a="1"/>
  <c r="C53" i="15" s="1"/>
  <c r="C60" i="15" a="1"/>
  <c r="C60" i="15" s="1"/>
  <c r="AI12" i="43" a="1"/>
  <c r="AI12" i="43" s="1"/>
  <c r="AI25" i="43" a="1"/>
  <c r="AI25" i="43" s="1"/>
  <c r="AI38" i="43" a="1"/>
  <c r="AI38" i="43" s="1"/>
  <c r="AI45" i="43" a="1"/>
  <c r="AI45" i="43" s="1"/>
  <c r="AI58" i="43" a="1"/>
  <c r="AI58" i="43" s="1"/>
  <c r="D15" i="54"/>
  <c r="D27" i="54"/>
  <c r="D39" i="54"/>
  <c r="D51" i="54"/>
  <c r="C8" i="54"/>
  <c r="C20" i="54"/>
  <c r="C32" i="54"/>
  <c r="C44" i="54"/>
  <c r="C56" i="54"/>
  <c r="F18" i="15" a="1"/>
  <c r="F18" i="15" s="1"/>
  <c r="F31" i="15" a="1"/>
  <c r="F31" i="15" s="1"/>
  <c r="F44" i="15" a="1"/>
  <c r="F44" i="15" s="1"/>
  <c r="F51" i="15" a="1"/>
  <c r="F51" i="15" s="1"/>
  <c r="E11" i="15" a="1"/>
  <c r="E11" i="15" s="1"/>
  <c r="E24" i="15" a="1"/>
  <c r="E24" i="15" s="1"/>
  <c r="E37" i="15" a="1"/>
  <c r="E37" i="15" s="1"/>
  <c r="E50" i="15" a="1"/>
  <c r="E50" i="15" s="1"/>
  <c r="E58" i="15" a="1"/>
  <c r="E58" i="15" s="1"/>
  <c r="D12" i="15" a="1"/>
  <c r="D12" i="15" s="1"/>
  <c r="D25" i="15" a="1"/>
  <c r="D25" i="15" s="1"/>
  <c r="D38" i="15" a="1"/>
  <c r="D38" i="15" s="1"/>
  <c r="D45" i="15" a="1"/>
  <c r="D45" i="15" s="1"/>
  <c r="D58" i="15" a="1"/>
  <c r="D58" i="15" s="1"/>
  <c r="C39" i="15" a="1"/>
  <c r="C39" i="15" s="1"/>
  <c r="AI19" i="43" a="1"/>
  <c r="AI19" i="43" s="1"/>
  <c r="AI32" i="43" a="1"/>
  <c r="AI32" i="43" s="1"/>
  <c r="AI39" i="43" a="1"/>
  <c r="AI39" i="43" s="1"/>
  <c r="AI52" i="43" a="1"/>
  <c r="AI52" i="43" s="1"/>
  <c r="AI59" i="43" a="1"/>
  <c r="AI59" i="43" s="1"/>
  <c r="C11" i="23"/>
  <c r="D16" i="54"/>
  <c r="D28" i="54"/>
  <c r="F12" i="15" a="1"/>
  <c r="F12" i="15" s="1"/>
  <c r="F25" i="15" a="1"/>
  <c r="F25" i="15" s="1"/>
  <c r="F38" i="15" a="1"/>
  <c r="F38" i="15" s="1"/>
  <c r="F45" i="15" a="1"/>
  <c r="F45" i="15" s="1"/>
  <c r="F58" i="15" a="1"/>
  <c r="F58" i="15" s="1"/>
  <c r="E18" i="15" a="1"/>
  <c r="E18" i="15" s="1"/>
  <c r="E31" i="15" a="1"/>
  <c r="E31" i="15" s="1"/>
  <c r="E44" i="15" a="1"/>
  <c r="E44" i="15" s="1"/>
  <c r="E51" i="15" a="1"/>
  <c r="E51" i="15" s="1"/>
  <c r="E59" i="15" a="1"/>
  <c r="E59" i="15" s="1"/>
  <c r="D19" i="15" a="1"/>
  <c r="D19" i="15" s="1"/>
  <c r="D32" i="15" a="1"/>
  <c r="D32" i="15" s="1"/>
  <c r="D39" i="15" a="1"/>
  <c r="D39" i="15" s="1"/>
  <c r="D52" i="15" a="1"/>
  <c r="D52" i="15" s="1"/>
  <c r="C11" i="15" a="1"/>
  <c r="C11" i="15" s="1"/>
  <c r="C18" i="15" a="1"/>
  <c r="C18" i="15" s="1"/>
  <c r="C25" i="15" a="1"/>
  <c r="C25" i="15" s="1"/>
  <c r="C32" i="15" a="1"/>
  <c r="C32" i="15" s="1"/>
  <c r="C40" i="15" a="1"/>
  <c r="C40" i="15" s="1"/>
  <c r="C47" i="15" a="1"/>
  <c r="C47" i="15" s="1"/>
  <c r="C54" i="15" a="1"/>
  <c r="C54" i="15" s="1"/>
  <c r="C61" i="15" a="1"/>
  <c r="C61" i="15" s="1"/>
  <c r="AI13" i="43" a="1"/>
  <c r="AI13" i="43" s="1"/>
  <c r="AI26" i="43" a="1"/>
  <c r="AI26" i="43" s="1"/>
  <c r="AI33" i="43" a="1"/>
  <c r="AI33" i="43" s="1"/>
  <c r="AI46" i="43" a="1"/>
  <c r="AI46" i="43" s="1"/>
  <c r="D17" i="54"/>
  <c r="F19" i="15" a="1"/>
  <c r="F19" i="15" s="1"/>
  <c r="F32" i="15" a="1"/>
  <c r="F32" i="15" s="1"/>
  <c r="F39" i="15" a="1"/>
  <c r="F39" i="15" s="1"/>
  <c r="F52" i="15" a="1"/>
  <c r="F52" i="15" s="1"/>
  <c r="F59" i="15" a="1"/>
  <c r="F59" i="15" s="1"/>
  <c r="E12" i="15" a="1"/>
  <c r="E12" i="15" s="1"/>
  <c r="E25" i="15" a="1"/>
  <c r="E25" i="15" s="1"/>
  <c r="E38" i="15" a="1"/>
  <c r="E38" i="15" s="1"/>
  <c r="E45" i="15" a="1"/>
  <c r="E45" i="15" s="1"/>
  <c r="E60" i="15" a="1"/>
  <c r="E60" i="15" s="1"/>
  <c r="D13" i="15" a="1"/>
  <c r="D13" i="15" s="1"/>
  <c r="D26" i="15" a="1"/>
  <c r="D26" i="15" s="1"/>
  <c r="D33" i="15" a="1"/>
  <c r="D33" i="15" s="1"/>
  <c r="D46" i="15" a="1"/>
  <c r="D46" i="15" s="1"/>
  <c r="D59" i="15" a="1"/>
  <c r="D59" i="15" s="1"/>
  <c r="C33" i="15" a="1"/>
  <c r="C33" i="15" s="1"/>
  <c r="AI20" i="43" a="1"/>
  <c r="AI20" i="43" s="1"/>
  <c r="AI27" i="43" a="1"/>
  <c r="AI27" i="43" s="1"/>
  <c r="AI40" i="43" a="1"/>
  <c r="AI40" i="43" s="1"/>
  <c r="AI53" i="43" a="1"/>
  <c r="AI53" i="43" s="1"/>
  <c r="AI60" i="43" a="1"/>
  <c r="AI60" i="43" s="1"/>
  <c r="F13" i="15" a="1"/>
  <c r="F13" i="15" s="1"/>
  <c r="F26" i="15" a="1"/>
  <c r="F26" i="15" s="1"/>
  <c r="F33" i="15" a="1"/>
  <c r="F33" i="15" s="1"/>
  <c r="F46" i="15" a="1"/>
  <c r="F46" i="15" s="1"/>
  <c r="F60" i="15" a="1"/>
  <c r="F60" i="15" s="1"/>
  <c r="E19" i="15" a="1"/>
  <c r="E19" i="15" s="1"/>
  <c r="E32" i="15" a="1"/>
  <c r="E32" i="15" s="1"/>
  <c r="E39" i="15" a="1"/>
  <c r="E39" i="15" s="1"/>
  <c r="E52" i="15" a="1"/>
  <c r="E52" i="15" s="1"/>
  <c r="E61" i="15" a="1"/>
  <c r="E61" i="15" s="1"/>
  <c r="D20" i="15" a="1"/>
  <c r="D20" i="15" s="1"/>
  <c r="D27" i="15" a="1"/>
  <c r="D27" i="15" s="1"/>
  <c r="D40" i="15" a="1"/>
  <c r="D40" i="15" s="1"/>
  <c r="D53" i="15" a="1"/>
  <c r="D53" i="15" s="1"/>
  <c r="C12" i="15" a="1"/>
  <c r="C12" i="15" s="1"/>
  <c r="C19" i="15" a="1"/>
  <c r="C19" i="15" s="1"/>
  <c r="C26" i="15" a="1"/>
  <c r="C26" i="15" s="1"/>
  <c r="C34" i="15" a="1"/>
  <c r="C34" i="15" s="1"/>
  <c r="C41" i="15" a="1"/>
  <c r="C41" i="15" s="1"/>
  <c r="C48" i="15" a="1"/>
  <c r="C48" i="15" s="1"/>
  <c r="C55" i="15" a="1"/>
  <c r="C55" i="15" s="1"/>
  <c r="C7" i="15" a="1"/>
  <c r="C7" i="15" s="1"/>
  <c r="AI14" i="43" a="1"/>
  <c r="AI14" i="43" s="1"/>
  <c r="AI21" i="43" a="1"/>
  <c r="AI21" i="43" s="1"/>
  <c r="AI34" i="43" a="1"/>
  <c r="AI34" i="43" s="1"/>
  <c r="AI47" i="43" a="1"/>
  <c r="AI47" i="43" s="1"/>
  <c r="D19" i="54"/>
  <c r="D31" i="54"/>
  <c r="D43" i="54"/>
  <c r="D55" i="54"/>
  <c r="C12" i="54"/>
  <c r="C24" i="54"/>
  <c r="C36" i="54"/>
  <c r="C48" i="54"/>
  <c r="C60" i="54"/>
  <c r="C15" i="45"/>
  <c r="C27" i="45"/>
  <c r="C39" i="45"/>
  <c r="C51" i="45"/>
  <c r="C18" i="38"/>
  <c r="C30" i="38"/>
  <c r="C42" i="38"/>
  <c r="C54" i="38"/>
  <c r="F20" i="15" a="1"/>
  <c r="F20" i="15" s="1"/>
  <c r="F27" i="15" a="1"/>
  <c r="F27" i="15" s="1"/>
  <c r="F40" i="15" a="1"/>
  <c r="F40" i="15" s="1"/>
  <c r="F53" i="15" a="1"/>
  <c r="F53" i="15" s="1"/>
  <c r="F61" i="15" a="1"/>
  <c r="F61" i="15" s="1"/>
  <c r="E13" i="15" a="1"/>
  <c r="E13" i="15" s="1"/>
  <c r="E26" i="15" a="1"/>
  <c r="E26" i="15" s="1"/>
  <c r="E33" i="15" a="1"/>
  <c r="E33" i="15" s="1"/>
  <c r="E46" i="15" a="1"/>
  <c r="E46" i="15" s="1"/>
  <c r="E7" i="15" a="1"/>
  <c r="E7" i="15" s="1"/>
  <c r="D14" i="15" a="1"/>
  <c r="D14" i="15" s="1"/>
  <c r="D21" i="15" a="1"/>
  <c r="D21" i="15" s="1"/>
  <c r="D34" i="15" a="1"/>
  <c r="D34" i="15" s="1"/>
  <c r="D47" i="15" a="1"/>
  <c r="D47" i="15" s="1"/>
  <c r="D60" i="15" a="1"/>
  <c r="D60" i="15" s="1"/>
  <c r="C27" i="15" a="1"/>
  <c r="C27" i="15" s="1"/>
  <c r="AI8" i="43" a="1"/>
  <c r="AI8" i="43" s="1"/>
  <c r="AI15" i="43" a="1"/>
  <c r="AI15" i="43" s="1"/>
  <c r="AI28" i="43" a="1"/>
  <c r="AI28" i="43" s="1"/>
  <c r="AI41" i="43" a="1"/>
  <c r="AI41" i="43" s="1"/>
  <c r="AI54" i="43" a="1"/>
  <c r="AI54" i="43" s="1"/>
  <c r="AI61" i="43" a="1"/>
  <c r="AI61" i="43" s="1"/>
  <c r="F14" i="15" a="1"/>
  <c r="F14" i="15" s="1"/>
  <c r="F21" i="15" a="1"/>
  <c r="F21" i="15" s="1"/>
  <c r="F34" i="15" a="1"/>
  <c r="F34" i="15" s="1"/>
  <c r="F47" i="15" a="1"/>
  <c r="F47" i="15" s="1"/>
  <c r="E20" i="15" a="1"/>
  <c r="E20" i="15" s="1"/>
  <c r="E27" i="15" a="1"/>
  <c r="E27" i="15" s="1"/>
  <c r="E40" i="15" a="1"/>
  <c r="E40" i="15" s="1"/>
  <c r="E53" i="15" a="1"/>
  <c r="E53" i="15" s="1"/>
  <c r="D8" i="15" a="1"/>
  <c r="D8" i="15" s="1"/>
  <c r="D15" i="15" a="1"/>
  <c r="D15" i="15" s="1"/>
  <c r="D28" i="15" a="1"/>
  <c r="D28" i="15" s="1"/>
  <c r="D41" i="15" a="1"/>
  <c r="D41" i="15" s="1"/>
  <c r="D54" i="15" a="1"/>
  <c r="D54" i="15" s="1"/>
  <c r="C13" i="15" a="1"/>
  <c r="C13" i="15" s="1"/>
  <c r="C20" i="15" a="1"/>
  <c r="C20" i="15" s="1"/>
  <c r="C28" i="15" a="1"/>
  <c r="C28" i="15" s="1"/>
  <c r="C35" i="15" a="1"/>
  <c r="C35" i="15" s="1"/>
  <c r="C42" i="15" a="1"/>
  <c r="C42" i="15" s="1"/>
  <c r="C49" i="15" a="1"/>
  <c r="C49" i="15" s="1"/>
  <c r="F8" i="15" a="1"/>
  <c r="F8" i="15" s="1"/>
  <c r="F15" i="15" a="1"/>
  <c r="F15" i="15" s="1"/>
  <c r="F28" i="15" a="1"/>
  <c r="F28" i="15" s="1"/>
  <c r="F41" i="15" a="1"/>
  <c r="F41" i="15" s="1"/>
  <c r="F54" i="15" a="1"/>
  <c r="F54" i="15" s="1"/>
  <c r="F7" i="15" a="1"/>
  <c r="F7" i="15" s="1"/>
  <c r="E14" i="15" a="1"/>
  <c r="E14" i="15" s="1"/>
  <c r="E21" i="15" a="1"/>
  <c r="E21" i="15" s="1"/>
  <c r="E34" i="15" a="1"/>
  <c r="E34" i="15" s="1"/>
  <c r="E47" i="15" a="1"/>
  <c r="E47" i="15" s="1"/>
  <c r="D9" i="15" a="1"/>
  <c r="D9" i="15" s="1"/>
  <c r="D22" i="15" a="1"/>
  <c r="D22" i="15" s="1"/>
  <c r="D35" i="15" a="1"/>
  <c r="D35" i="15" s="1"/>
  <c r="D48" i="15" a="1"/>
  <c r="D48" i="15" s="1"/>
  <c r="D61" i="15" a="1"/>
  <c r="D61" i="15" s="1"/>
  <c r="F9" i="15" a="1"/>
  <c r="F9" i="15" s="1"/>
  <c r="F22" i="15" a="1"/>
  <c r="F22" i="15" s="1"/>
  <c r="F35" i="15" a="1"/>
  <c r="F35" i="15" s="1"/>
  <c r="F48" i="15" a="1"/>
  <c r="F48" i="15" s="1"/>
  <c r="E8" i="15" a="1"/>
  <c r="E8" i="15" s="1"/>
  <c r="E15" i="15" a="1"/>
  <c r="E15" i="15" s="1"/>
  <c r="E28" i="15" a="1"/>
  <c r="E28" i="15" s="1"/>
  <c r="E41" i="15" a="1"/>
  <c r="E41" i="15" s="1"/>
  <c r="E54" i="15" a="1"/>
  <c r="E54" i="15" s="1"/>
  <c r="D16" i="15" a="1"/>
  <c r="D16" i="15" s="1"/>
  <c r="D29" i="15" a="1"/>
  <c r="D29" i="15" s="1"/>
  <c r="D42" i="15" a="1"/>
  <c r="D42" i="15" s="1"/>
  <c r="D55" i="15" a="1"/>
  <c r="D55" i="15" s="1"/>
  <c r="C14" i="15" a="1"/>
  <c r="C14" i="15" s="1"/>
  <c r="C22" i="15" a="1"/>
  <c r="C22" i="15" s="1"/>
  <c r="C29" i="15" a="1"/>
  <c r="C29" i="15" s="1"/>
  <c r="F17" i="15" a="1"/>
  <c r="F17" i="15" s="1"/>
  <c r="F43" i="15" a="1"/>
  <c r="F43" i="15" s="1"/>
  <c r="C16" i="15" a="1"/>
  <c r="C16" i="15" s="1"/>
  <c r="AI51" i="43" a="1"/>
  <c r="AI51" i="43" s="1"/>
  <c r="D20" i="54"/>
  <c r="D35" i="54"/>
  <c r="D49" i="54"/>
  <c r="C9" i="54"/>
  <c r="C23" i="54"/>
  <c r="C38" i="54"/>
  <c r="C52" i="54"/>
  <c r="C19" i="45"/>
  <c r="C32" i="45"/>
  <c r="C45" i="45"/>
  <c r="C58" i="45"/>
  <c r="E22" i="15" a="1"/>
  <c r="E22" i="15" s="1"/>
  <c r="E48" i="15" a="1"/>
  <c r="E48" i="15" s="1"/>
  <c r="D23" i="15" a="1"/>
  <c r="D23" i="15" s="1"/>
  <c r="D49" i="15" a="1"/>
  <c r="D49" i="15" s="1"/>
  <c r="C37" i="15" a="1"/>
  <c r="C37" i="15" s="1"/>
  <c r="C56" i="15" a="1"/>
  <c r="C56" i="15" s="1"/>
  <c r="D21" i="54"/>
  <c r="D36" i="54"/>
  <c r="D50" i="54"/>
  <c r="C10" i="54"/>
  <c r="C25" i="54"/>
  <c r="C39" i="54"/>
  <c r="C53" i="54"/>
  <c r="C20" i="45"/>
  <c r="C33" i="45"/>
  <c r="C46" i="45"/>
  <c r="C59" i="45"/>
  <c r="F23" i="15" a="1"/>
  <c r="F23" i="15" s="1"/>
  <c r="F49" i="15" a="1"/>
  <c r="F49" i="15" s="1"/>
  <c r="C21" i="15" a="1"/>
  <c r="C21" i="15" s="1"/>
  <c r="C57" i="15" a="1"/>
  <c r="C57" i="15" s="1"/>
  <c r="AI16" i="43" a="1"/>
  <c r="AI16" i="43" s="1"/>
  <c r="AI29" i="43" a="1"/>
  <c r="AI29" i="43" s="1"/>
  <c r="AI42" i="43" a="1"/>
  <c r="AI42" i="43" s="1"/>
  <c r="AI55" i="43" a="1"/>
  <c r="AI55" i="43" s="1"/>
  <c r="D22" i="54"/>
  <c r="D37" i="54"/>
  <c r="D52" i="54"/>
  <c r="C11" i="54"/>
  <c r="C26" i="54"/>
  <c r="C40" i="54"/>
  <c r="C54" i="54"/>
  <c r="C8" i="45"/>
  <c r="C21" i="45"/>
  <c r="C34" i="45"/>
  <c r="C47" i="45"/>
  <c r="C60" i="45"/>
  <c r="C13" i="38"/>
  <c r="C26" i="38"/>
  <c r="C39" i="38"/>
  <c r="C52" i="38"/>
  <c r="C13" i="35"/>
  <c r="C25" i="35"/>
  <c r="C37" i="35"/>
  <c r="C49" i="35"/>
  <c r="C61" i="35"/>
  <c r="E18" i="94"/>
  <c r="E30" i="94"/>
  <c r="E42" i="94"/>
  <c r="E54" i="94"/>
  <c r="D11" i="94"/>
  <c r="D23" i="94"/>
  <c r="D35" i="94"/>
  <c r="D47" i="94"/>
  <c r="D59" i="94"/>
  <c r="C16" i="94"/>
  <c r="C28" i="94"/>
  <c r="C40" i="94"/>
  <c r="C52" i="94"/>
  <c r="E29" i="15" a="1"/>
  <c r="E29" i="15" s="1"/>
  <c r="E55" i="15" a="1"/>
  <c r="E55" i="15" s="1"/>
  <c r="D30" i="15" a="1"/>
  <c r="D30" i="15" s="1"/>
  <c r="D56" i="15" a="1"/>
  <c r="D56" i="15" s="1"/>
  <c r="C59" i="15" a="1"/>
  <c r="C59" i="15" s="1"/>
  <c r="AI57" i="43" a="1"/>
  <c r="AI57" i="43" s="1"/>
  <c r="D9" i="54"/>
  <c r="D25" i="54"/>
  <c r="D41" i="54"/>
  <c r="D56" i="54"/>
  <c r="C15" i="54"/>
  <c r="C29" i="54"/>
  <c r="C43" i="54"/>
  <c r="C58" i="54"/>
  <c r="C11" i="45"/>
  <c r="C24" i="45"/>
  <c r="C37" i="45"/>
  <c r="C50" i="45"/>
  <c r="E49" i="15" a="1"/>
  <c r="E49" i="15" s="1"/>
  <c r="D26" i="54"/>
  <c r="D47" i="54"/>
  <c r="C16" i="54"/>
  <c r="C35" i="54"/>
  <c r="C59" i="54"/>
  <c r="C12" i="45"/>
  <c r="C30" i="45"/>
  <c r="C52" i="45"/>
  <c r="C12" i="38"/>
  <c r="C27" i="38"/>
  <c r="C41" i="38"/>
  <c r="C56" i="38"/>
  <c r="C14" i="35"/>
  <c r="C27" i="35"/>
  <c r="C40" i="35"/>
  <c r="C53" i="35"/>
  <c r="E11" i="94"/>
  <c r="E24" i="94"/>
  <c r="E37" i="94"/>
  <c r="E50" i="94"/>
  <c r="D8" i="94"/>
  <c r="D21" i="94"/>
  <c r="D34" i="94"/>
  <c r="D48" i="94"/>
  <c r="D61" i="94"/>
  <c r="C19" i="94"/>
  <c r="C32" i="94"/>
  <c r="C45" i="94"/>
  <c r="C58" i="94"/>
  <c r="F29" i="15" a="1"/>
  <c r="F29" i="15" s="1"/>
  <c r="E10" i="15" a="1"/>
  <c r="E10" i="15" s="1"/>
  <c r="D37" i="15" a="1"/>
  <c r="D37" i="15" s="1"/>
  <c r="C23" i="15" a="1"/>
  <c r="C23" i="15" s="1"/>
  <c r="C50" i="15" a="1"/>
  <c r="C50" i="15" s="1"/>
  <c r="AI17" i="43" a="1"/>
  <c r="AI17" i="43" s="1"/>
  <c r="AI36" i="43" a="1"/>
  <c r="AI36" i="43" s="1"/>
  <c r="AI56" i="43" a="1"/>
  <c r="AI56" i="43" s="1"/>
  <c r="D29" i="54"/>
  <c r="D48" i="54"/>
  <c r="C17" i="54"/>
  <c r="C37" i="54"/>
  <c r="C61" i="54"/>
  <c r="C13" i="45"/>
  <c r="C31" i="45"/>
  <c r="C53" i="45"/>
  <c r="C14" i="38"/>
  <c r="C28" i="38"/>
  <c r="C43" i="38"/>
  <c r="C57" i="38"/>
  <c r="F30" i="15" a="1"/>
  <c r="F30" i="15" s="1"/>
  <c r="E56" i="15" a="1"/>
  <c r="E56" i="15" s="1"/>
  <c r="C51" i="15" a="1"/>
  <c r="C51" i="15" s="1"/>
  <c r="AI18" i="43" a="1"/>
  <c r="AI18" i="43" s="1"/>
  <c r="D30" i="54"/>
  <c r="D53" i="54"/>
  <c r="C18" i="54"/>
  <c r="C41" i="54"/>
  <c r="C7" i="54"/>
  <c r="C14" i="45"/>
  <c r="C35" i="45"/>
  <c r="C54" i="45"/>
  <c r="C15" i="38"/>
  <c r="C29" i="38"/>
  <c r="C44" i="38"/>
  <c r="C58" i="38"/>
  <c r="C16" i="35"/>
  <c r="C29" i="35"/>
  <c r="C42" i="35"/>
  <c r="C55" i="35"/>
  <c r="E13" i="94"/>
  <c r="E26" i="94"/>
  <c r="E39" i="94"/>
  <c r="E52" i="94"/>
  <c r="D10" i="94"/>
  <c r="D24" i="94"/>
  <c r="D37" i="94"/>
  <c r="D50" i="94"/>
  <c r="C8" i="94"/>
  <c r="C21" i="94"/>
  <c r="C34" i="94"/>
  <c r="C47" i="94"/>
  <c r="C60" i="94"/>
  <c r="C9" i="32" a="1"/>
  <c r="C9" i="32" s="1"/>
  <c r="C16" i="32" a="1"/>
  <c r="C16" i="32" s="1"/>
  <c r="C23" i="32" a="1"/>
  <c r="C23" i="32" s="1"/>
  <c r="C30" i="32" a="1"/>
  <c r="C30" i="32" s="1"/>
  <c r="C45" i="32" a="1"/>
  <c r="C45" i="32" s="1"/>
  <c r="C52" i="32" a="1"/>
  <c r="C52" i="32" s="1"/>
  <c r="C61" i="32" a="1"/>
  <c r="C61" i="32" s="1"/>
  <c r="C15" i="29"/>
  <c r="C27" i="29"/>
  <c r="C39" i="29"/>
  <c r="C51" i="29"/>
  <c r="E16" i="15" a="1"/>
  <c r="E16" i="15" s="1"/>
  <c r="D10" i="15" a="1"/>
  <c r="D10" i="15" s="1"/>
  <c r="D43" i="15" a="1"/>
  <c r="D43" i="15" s="1"/>
  <c r="C52" i="15" a="1"/>
  <c r="C52" i="15" s="1"/>
  <c r="AI22" i="43" a="1"/>
  <c r="AI22" i="43" s="1"/>
  <c r="AI37" i="43" a="1"/>
  <c r="AI37" i="43" s="1"/>
  <c r="D8" i="54"/>
  <c r="D32" i="54"/>
  <c r="D54" i="54"/>
  <c r="C19" i="54"/>
  <c r="C42" i="54"/>
  <c r="C16" i="45"/>
  <c r="C36" i="45"/>
  <c r="C55" i="45"/>
  <c r="C16" i="38"/>
  <c r="C31" i="38"/>
  <c r="C45" i="38"/>
  <c r="C59" i="38"/>
  <c r="C17" i="35"/>
  <c r="C30" i="35"/>
  <c r="C43" i="35"/>
  <c r="C56" i="35"/>
  <c r="E14" i="94"/>
  <c r="E27" i="94"/>
  <c r="E40" i="94"/>
  <c r="E53" i="94"/>
  <c r="D12" i="94"/>
  <c r="D25" i="94"/>
  <c r="D38" i="94"/>
  <c r="D51" i="94"/>
  <c r="C9" i="94"/>
  <c r="C22" i="94"/>
  <c r="C35" i="94"/>
  <c r="C48" i="94"/>
  <c r="C61" i="94"/>
  <c r="C31" i="32" a="1"/>
  <c r="C31" i="32" s="1"/>
  <c r="C38" i="32" a="1"/>
  <c r="C38" i="32" s="1"/>
  <c r="F36" i="15" a="1"/>
  <c r="F36" i="15" s="1"/>
  <c r="E23" i="15" a="1"/>
  <c r="E23" i="15" s="1"/>
  <c r="D50" i="15" a="1"/>
  <c r="D50" i="15" s="1"/>
  <c r="C30" i="15" a="1"/>
  <c r="C30" i="15" s="1"/>
  <c r="C58" i="15" a="1"/>
  <c r="C58" i="15" s="1"/>
  <c r="AI7" i="43" a="1"/>
  <c r="AI7" i="43" s="1"/>
  <c r="D10" i="54"/>
  <c r="D33" i="54"/>
  <c r="D57" i="54"/>
  <c r="C21" i="54"/>
  <c r="C45" i="54"/>
  <c r="C17" i="45"/>
  <c r="C38" i="45"/>
  <c r="C56" i="45"/>
  <c r="D11" i="15" a="1"/>
  <c r="D11" i="15" s="1"/>
  <c r="AI23" i="43" a="1"/>
  <c r="AI23" i="43" s="1"/>
  <c r="AI43" i="43" a="1"/>
  <c r="AI43" i="43" s="1"/>
  <c r="D11" i="54"/>
  <c r="D34" i="54"/>
  <c r="D58" i="54"/>
  <c r="C22" i="54"/>
  <c r="C46" i="54"/>
  <c r="C18" i="45"/>
  <c r="C40" i="45"/>
  <c r="C57" i="45"/>
  <c r="C19" i="38"/>
  <c r="C33" i="38"/>
  <c r="C47" i="38"/>
  <c r="C61" i="38"/>
  <c r="F42" i="15" a="1"/>
  <c r="F42" i="15" s="1"/>
  <c r="D14" i="54"/>
  <c r="D61" i="54"/>
  <c r="C50" i="54"/>
  <c r="C43" i="45"/>
  <c r="C24" i="38"/>
  <c r="C50" i="38"/>
  <c r="C19" i="35"/>
  <c r="C35" i="35"/>
  <c r="C52" i="35"/>
  <c r="E16" i="94"/>
  <c r="E33" i="94"/>
  <c r="E49" i="94"/>
  <c r="D14" i="94"/>
  <c r="D30" i="94"/>
  <c r="D46" i="94"/>
  <c r="C11" i="94"/>
  <c r="C27" i="94"/>
  <c r="C44" i="94"/>
  <c r="D17" i="15" a="1"/>
  <c r="D17" i="15" s="1"/>
  <c r="C36" i="15" a="1"/>
  <c r="C36" i="15" s="1"/>
  <c r="AI24" i="43" a="1"/>
  <c r="AI24" i="43" s="1"/>
  <c r="D18" i="54"/>
  <c r="D7" i="54"/>
  <c r="C51" i="54"/>
  <c r="C44" i="45"/>
  <c r="C25" i="38"/>
  <c r="C51" i="38"/>
  <c r="C20" i="35"/>
  <c r="C36" i="35"/>
  <c r="C54" i="35"/>
  <c r="E17" i="94"/>
  <c r="D24" i="15" a="1"/>
  <c r="D24" i="15" s="1"/>
  <c r="D23" i="54"/>
  <c r="C13" i="54"/>
  <c r="C55" i="54"/>
  <c r="C9" i="45"/>
  <c r="C48" i="45"/>
  <c r="F55" i="15" a="1"/>
  <c r="F55" i="15" s="1"/>
  <c r="C43" i="15" a="1"/>
  <c r="C43" i="15" s="1"/>
  <c r="AI30" i="43" a="1"/>
  <c r="AI30" i="43" s="1"/>
  <c r="F56" i="15" a="1"/>
  <c r="F56" i="15" s="1"/>
  <c r="C44" i="15" a="1"/>
  <c r="C44" i="15" s="1"/>
  <c r="AI31" i="43" a="1"/>
  <c r="AI31" i="43" s="1"/>
  <c r="D38" i="54"/>
  <c r="C27" i="54"/>
  <c r="C22" i="45"/>
  <c r="C61" i="45"/>
  <c r="C9" i="38"/>
  <c r="C35" i="38"/>
  <c r="C60" i="38"/>
  <c r="C23" i="35"/>
  <c r="C41" i="35"/>
  <c r="C59" i="35"/>
  <c r="E21" i="94"/>
  <c r="E38" i="94"/>
  <c r="E57" i="94"/>
  <c r="D18" i="94"/>
  <c r="D36" i="94"/>
  <c r="D54" i="94"/>
  <c r="C15" i="94"/>
  <c r="C33" i="94"/>
  <c r="C51" i="94"/>
  <c r="E9" i="15" a="1"/>
  <c r="E9" i="15" s="1"/>
  <c r="D36" i="15" a="1"/>
  <c r="D36" i="15" s="1"/>
  <c r="C45" i="15" a="1"/>
  <c r="C45" i="15" s="1"/>
  <c r="AI35" i="43" a="1"/>
  <c r="AI35" i="43" s="1"/>
  <c r="D40" i="54"/>
  <c r="C28" i="54"/>
  <c r="C23" i="45"/>
  <c r="C7" i="45"/>
  <c r="C10" i="38"/>
  <c r="C36" i="38"/>
  <c r="C7" i="38"/>
  <c r="C8" i="35"/>
  <c r="C24" i="35"/>
  <c r="C44" i="35"/>
  <c r="C60" i="35"/>
  <c r="E22" i="94"/>
  <c r="E41" i="94"/>
  <c r="E58" i="94"/>
  <c r="D19" i="94"/>
  <c r="D39" i="94"/>
  <c r="D55" i="94"/>
  <c r="C17" i="94"/>
  <c r="C36" i="94"/>
  <c r="C53" i="94"/>
  <c r="C13" i="32" a="1"/>
  <c r="C13" i="32" s="1"/>
  <c r="C57" i="32" a="1"/>
  <c r="C57" i="32" s="1"/>
  <c r="C11" i="29"/>
  <c r="C24" i="29"/>
  <c r="C37" i="29"/>
  <c r="C50" i="29"/>
  <c r="C9" i="26"/>
  <c r="C21" i="26"/>
  <c r="C33" i="26"/>
  <c r="C45" i="26"/>
  <c r="C57" i="26"/>
  <c r="C14" i="54"/>
  <c r="C22" i="38"/>
  <c r="C9" i="35"/>
  <c r="C33" i="35"/>
  <c r="C7" i="35"/>
  <c r="E31" i="94"/>
  <c r="E55" i="94"/>
  <c r="D22" i="94"/>
  <c r="D44" i="94"/>
  <c r="C13" i="94"/>
  <c r="C38" i="94"/>
  <c r="C59" i="94"/>
  <c r="C17" i="32" a="1"/>
  <c r="C17" i="32" s="1"/>
  <c r="C26" i="32" a="1"/>
  <c r="C26" i="32" s="1"/>
  <c r="C35" i="32" a="1"/>
  <c r="C35" i="32" s="1"/>
  <c r="C44" i="32" a="1"/>
  <c r="C44" i="32" s="1"/>
  <c r="C55" i="32" a="1"/>
  <c r="C55" i="32" s="1"/>
  <c r="C19" i="29"/>
  <c r="C33" i="29"/>
  <c r="C47" i="29"/>
  <c r="C61" i="29"/>
  <c r="C17" i="26"/>
  <c r="C30" i="26"/>
  <c r="C43" i="26"/>
  <c r="C56" i="26"/>
  <c r="C14" i="22"/>
  <c r="C26" i="22"/>
  <c r="C38" i="22"/>
  <c r="C50" i="22"/>
  <c r="C7" i="22"/>
  <c r="E35" i="15" a="1"/>
  <c r="E35" i="15" s="1"/>
  <c r="AI9" i="43" a="1"/>
  <c r="AI9" i="43" s="1"/>
  <c r="C30" i="54"/>
  <c r="C23" i="38"/>
  <c r="C10" i="35"/>
  <c r="C34" i="35"/>
  <c r="E8" i="94"/>
  <c r="E32" i="94"/>
  <c r="E56" i="94"/>
  <c r="D26" i="94"/>
  <c r="D45" i="94"/>
  <c r="C14" i="94"/>
  <c r="C39" i="94"/>
  <c r="C7" i="94"/>
  <c r="C27" i="32" a="1"/>
  <c r="C27" i="32" s="1"/>
  <c r="C46" i="32" a="1"/>
  <c r="C46" i="32" s="1"/>
  <c r="C20" i="29"/>
  <c r="C34" i="29"/>
  <c r="C48" i="29"/>
  <c r="C7" i="29"/>
  <c r="C18" i="26"/>
  <c r="C31" i="26"/>
  <c r="C44" i="26"/>
  <c r="C58" i="26"/>
  <c r="C15" i="22"/>
  <c r="C27" i="22"/>
  <c r="C39" i="22"/>
  <c r="C51" i="22"/>
  <c r="C31" i="54"/>
  <c r="C32" i="38"/>
  <c r="C11" i="35"/>
  <c r="C38" i="35"/>
  <c r="E9" i="94"/>
  <c r="E34" i="94"/>
  <c r="E59" i="94"/>
  <c r="D27" i="94"/>
  <c r="D49" i="94"/>
  <c r="C18" i="94"/>
  <c r="C41" i="94"/>
  <c r="C8" i="32" a="1"/>
  <c r="C8" i="32" s="1"/>
  <c r="C18" i="32" a="1"/>
  <c r="C18" i="32" s="1"/>
  <c r="C36" i="32" a="1"/>
  <c r="C36" i="32" s="1"/>
  <c r="C56" i="32" a="1"/>
  <c r="C56" i="32" s="1"/>
  <c r="C21" i="29"/>
  <c r="C35" i="29"/>
  <c r="C49" i="29"/>
  <c r="C19" i="26"/>
  <c r="C32" i="26"/>
  <c r="C46" i="26"/>
  <c r="C59" i="26"/>
  <c r="C16" i="22"/>
  <c r="C28" i="22"/>
  <c r="C40" i="22"/>
  <c r="C52" i="22"/>
  <c r="AJ11" i="43" a="1"/>
  <c r="AJ11" i="43" s="1"/>
  <c r="AC11" i="43"/>
  <c r="U11" i="43"/>
  <c r="I11" i="43"/>
  <c r="D13" i="54"/>
  <c r="C34" i="54"/>
  <c r="C10" i="45"/>
  <c r="C37" i="38"/>
  <c r="C15" i="35"/>
  <c r="C45" i="35"/>
  <c r="E12" i="94"/>
  <c r="E36" i="94"/>
  <c r="E61" i="94"/>
  <c r="D29" i="94"/>
  <c r="D53" i="94"/>
  <c r="C23" i="94"/>
  <c r="C43" i="94"/>
  <c r="C39" i="32" a="1"/>
  <c r="C39" i="32" s="1"/>
  <c r="C48" i="32" a="1"/>
  <c r="C48" i="32" s="1"/>
  <c r="C58" i="32" a="1"/>
  <c r="C58" i="32" s="1"/>
  <c r="C9" i="29"/>
  <c r="C23" i="29"/>
  <c r="C38" i="29"/>
  <c r="C53" i="29"/>
  <c r="C8" i="26"/>
  <c r="C22" i="26"/>
  <c r="C35" i="26"/>
  <c r="C48" i="26"/>
  <c r="C61" i="26"/>
  <c r="C18" i="22"/>
  <c r="C30" i="22"/>
  <c r="C42" i="22"/>
  <c r="C54" i="22"/>
  <c r="E42" i="15" a="1"/>
  <c r="E42" i="15" s="1"/>
  <c r="AI11" i="43" a="1"/>
  <c r="AI11" i="43" s="1"/>
  <c r="D24" i="54"/>
  <c r="C47" i="54"/>
  <c r="C25" i="45"/>
  <c r="C38" i="38"/>
  <c r="C18" i="35"/>
  <c r="C46" i="35"/>
  <c r="E15" i="94"/>
  <c r="E43" i="94"/>
  <c r="E7" i="94"/>
  <c r="D31" i="94"/>
  <c r="D56" i="94"/>
  <c r="C24" i="94"/>
  <c r="C46" i="94"/>
  <c r="C11" i="32" a="1"/>
  <c r="C11" i="32" s="1"/>
  <c r="C20" i="32" a="1"/>
  <c r="C20" i="32" s="1"/>
  <c r="C29" i="32" a="1"/>
  <c r="C29" i="32" s="1"/>
  <c r="C40" i="32" a="1"/>
  <c r="C40" i="32" s="1"/>
  <c r="C49" i="32" a="1"/>
  <c r="C49" i="32" s="1"/>
  <c r="C59" i="32" a="1"/>
  <c r="C59" i="32" s="1"/>
  <c r="C10" i="29"/>
  <c r="C25" i="29"/>
  <c r="C40" i="29"/>
  <c r="C54" i="29"/>
  <c r="C10" i="26"/>
  <c r="C23" i="26"/>
  <c r="C36" i="26"/>
  <c r="C49" i="26"/>
  <c r="C7" i="26"/>
  <c r="C19" i="22"/>
  <c r="C31" i="22"/>
  <c r="C43" i="22"/>
  <c r="C55" i="22"/>
  <c r="F16" i="15" a="1"/>
  <c r="F16" i="15" s="1"/>
  <c r="D59" i="54"/>
  <c r="C42" i="45"/>
  <c r="C20" i="38"/>
  <c r="C53" i="38"/>
  <c r="C31" i="35"/>
  <c r="C57" i="35"/>
  <c r="E28" i="94"/>
  <c r="E48" i="94"/>
  <c r="D17" i="94"/>
  <c r="D42" i="94"/>
  <c r="C10" i="94"/>
  <c r="C31" i="94"/>
  <c r="C56" i="94"/>
  <c r="C15" i="32" a="1"/>
  <c r="C15" i="32" s="1"/>
  <c r="C25" i="32" a="1"/>
  <c r="C25" i="32" s="1"/>
  <c r="C34" i="32" a="1"/>
  <c r="C34" i="32" s="1"/>
  <c r="C43" i="32" a="1"/>
  <c r="C43" i="32" s="1"/>
  <c r="C53" i="32" a="1"/>
  <c r="C53" i="32" s="1"/>
  <c r="C17" i="29"/>
  <c r="C31" i="29"/>
  <c r="C45" i="29"/>
  <c r="C59" i="29"/>
  <c r="C15" i="26"/>
  <c r="C28" i="26"/>
  <c r="C41" i="26"/>
  <c r="C54" i="26"/>
  <c r="C12" i="22"/>
  <c r="C24" i="22"/>
  <c r="C36" i="22"/>
  <c r="C48" i="22"/>
  <c r="C60" i="22"/>
  <c r="D57" i="15" a="1"/>
  <c r="D57" i="15" s="1"/>
  <c r="D42" i="54"/>
  <c r="C21" i="35"/>
  <c r="E19" i="94"/>
  <c r="D9" i="94"/>
  <c r="D57" i="94"/>
  <c r="C49" i="94"/>
  <c r="C21" i="32" a="1"/>
  <c r="C21" i="32" s="1"/>
  <c r="C60" i="32" a="1"/>
  <c r="C60" i="32" s="1"/>
  <c r="C12" i="29"/>
  <c r="C41" i="29"/>
  <c r="C11" i="26"/>
  <c r="C37" i="26"/>
  <c r="C20" i="22"/>
  <c r="C44" i="22"/>
  <c r="X11" i="43"/>
  <c r="D7" i="15" a="1"/>
  <c r="D7" i="15" s="1"/>
  <c r="D44" i="54"/>
  <c r="C8" i="38"/>
  <c r="C22" i="35"/>
  <c r="E20" i="94"/>
  <c r="D13" i="94"/>
  <c r="D58" i="94"/>
  <c r="C50" i="94"/>
  <c r="C22" i="32" a="1"/>
  <c r="C22" i="32" s="1"/>
  <c r="C41" i="32" a="1"/>
  <c r="C41" i="32" s="1"/>
  <c r="C7" i="32" a="1"/>
  <c r="C7" i="32" s="1"/>
  <c r="C13" i="29"/>
  <c r="C42" i="29"/>
  <c r="C12" i="26"/>
  <c r="C38" i="26"/>
  <c r="C21" i="22"/>
  <c r="C45" i="22"/>
  <c r="AH11" i="43" a="1"/>
  <c r="AH11" i="43" s="1"/>
  <c r="C8" i="15" a="1"/>
  <c r="C8" i="15" s="1"/>
  <c r="D45" i="54"/>
  <c r="C11" i="38"/>
  <c r="C26" i="35"/>
  <c r="E23" i="94"/>
  <c r="D15" i="94"/>
  <c r="D60" i="94"/>
  <c r="C54" i="94"/>
  <c r="C14" i="29"/>
  <c r="C43" i="29"/>
  <c r="C13" i="26"/>
  <c r="C39" i="26"/>
  <c r="C22" i="22"/>
  <c r="C46" i="22"/>
  <c r="C9" i="15" a="1"/>
  <c r="C9" i="15" s="1"/>
  <c r="D46" i="54"/>
  <c r="C17" i="38"/>
  <c r="C28" i="35"/>
  <c r="E25" i="94"/>
  <c r="D16" i="94"/>
  <c r="D7" i="94"/>
  <c r="C55" i="94"/>
  <c r="C24" i="32" a="1"/>
  <c r="C24" i="32" s="1"/>
  <c r="C42" i="32" a="1"/>
  <c r="C42" i="32" s="1"/>
  <c r="C16" i="29"/>
  <c r="C44" i="29"/>
  <c r="C14" i="26"/>
  <c r="C40" i="26"/>
  <c r="C23" i="22"/>
  <c r="C47" i="22"/>
  <c r="AF11" i="43"/>
  <c r="Z11" i="43" a="1"/>
  <c r="Z11" i="43" s="1"/>
  <c r="AI49" i="43" a="1"/>
  <c r="AI49" i="43" s="1"/>
  <c r="C41" i="45"/>
  <c r="C49" i="38"/>
  <c r="C51" i="35"/>
  <c r="E47" i="94"/>
  <c r="D41" i="94"/>
  <c r="C30" i="94"/>
  <c r="C14" i="32" a="1"/>
  <c r="C14" i="32" s="1"/>
  <c r="C30" i="29"/>
  <c r="C58" i="29"/>
  <c r="C27" i="26"/>
  <c r="C53" i="26"/>
  <c r="C11" i="22"/>
  <c r="C35" i="22"/>
  <c r="C59" i="22"/>
  <c r="AI50" i="43" a="1"/>
  <c r="AI50" i="43" s="1"/>
  <c r="C49" i="45"/>
  <c r="C55" i="38"/>
  <c r="C58" i="35"/>
  <c r="E51" i="94"/>
  <c r="D43" i="94"/>
  <c r="C37" i="94"/>
  <c r="C54" i="32" a="1"/>
  <c r="C54" i="32" s="1"/>
  <c r="C32" i="29"/>
  <c r="C60" i="29"/>
  <c r="C29" i="26"/>
  <c r="C55" i="26"/>
  <c r="C13" i="22"/>
  <c r="C37" i="22"/>
  <c r="C61" i="22"/>
  <c r="E36" i="15" a="1"/>
  <c r="E36" i="15" s="1"/>
  <c r="D12" i="54"/>
  <c r="C12" i="35"/>
  <c r="E10" i="94"/>
  <c r="E60" i="94"/>
  <c r="D52" i="94"/>
  <c r="C42" i="94"/>
  <c r="C19" i="32" a="1"/>
  <c r="C19" i="32" s="1"/>
  <c r="C37" i="32" a="1"/>
  <c r="C37" i="32" s="1"/>
  <c r="AI48" i="43" a="1"/>
  <c r="AI48" i="43" s="1"/>
  <c r="E29" i="94"/>
  <c r="C25" i="94"/>
  <c r="C12" i="32" a="1"/>
  <c r="C12" i="32" s="1"/>
  <c r="C26" i="29"/>
  <c r="C24" i="26"/>
  <c r="C8" i="22"/>
  <c r="C56" i="22"/>
  <c r="AA11" i="43"/>
  <c r="Q11" i="43"/>
  <c r="N11" i="43"/>
  <c r="D60" i="54"/>
  <c r="E35" i="94"/>
  <c r="C26" i="94"/>
  <c r="C28" i="29"/>
  <c r="C25" i="26"/>
  <c r="C9" i="22"/>
  <c r="C57" i="22"/>
  <c r="S11" i="43"/>
  <c r="C33" i="54"/>
  <c r="E44" i="94"/>
  <c r="C29" i="94"/>
  <c r="C29" i="29"/>
  <c r="C26" i="26"/>
  <c r="C10" i="22"/>
  <c r="C58" i="22"/>
  <c r="C49" i="54"/>
  <c r="E45" i="94"/>
  <c r="C57" i="94"/>
  <c r="C28" i="32" a="1"/>
  <c r="C28" i="32" s="1"/>
  <c r="C36" i="29"/>
  <c r="C34" i="26"/>
  <c r="C17" i="22"/>
  <c r="C57" i="54"/>
  <c r="C21" i="38"/>
  <c r="E46" i="94"/>
  <c r="C46" i="29"/>
  <c r="C42" i="26"/>
  <c r="C25" i="22"/>
  <c r="AE11" i="43"/>
  <c r="C34" i="38"/>
  <c r="D20" i="94"/>
  <c r="C32" i="32" a="1"/>
  <c r="C32" i="32" s="1"/>
  <c r="C52" i="29"/>
  <c r="C47" i="26"/>
  <c r="C29" i="22"/>
  <c r="C40" i="38"/>
  <c r="D28" i="94"/>
  <c r="C33" i="32" a="1"/>
  <c r="C33" i="32" s="1"/>
  <c r="C55" i="29"/>
  <c r="C50" i="26"/>
  <c r="C32" i="22"/>
  <c r="C46" i="38"/>
  <c r="C32" i="35"/>
  <c r="D32" i="94"/>
  <c r="C56" i="29"/>
  <c r="C51" i="26"/>
  <c r="C33" i="22"/>
  <c r="AB11" i="43"/>
  <c r="F10" i="15" a="1"/>
  <c r="F10" i="15" s="1"/>
  <c r="C26" i="45"/>
  <c r="C48" i="38"/>
  <c r="C39" i="35"/>
  <c r="D33" i="94"/>
  <c r="C47" i="32" a="1"/>
  <c r="C47" i="32" s="1"/>
  <c r="C57" i="29"/>
  <c r="C52" i="26"/>
  <c r="C34" i="22"/>
  <c r="C15" i="15" a="1"/>
  <c r="C15" i="15" s="1"/>
  <c r="C28" i="45"/>
  <c r="C47" i="35"/>
  <c r="D40" i="94"/>
  <c r="C8" i="29"/>
  <c r="C60" i="26"/>
  <c r="C41" i="22"/>
  <c r="AI10" i="43" a="1"/>
  <c r="AI10" i="43" s="1"/>
  <c r="C29" i="45"/>
  <c r="C48" i="35"/>
  <c r="C12" i="94"/>
  <c r="C10" i="32" a="1"/>
  <c r="C10" i="32" s="1"/>
  <c r="C50" i="32" a="1"/>
  <c r="C50" i="32" s="1"/>
  <c r="C18" i="29"/>
  <c r="C16" i="26"/>
  <c r="C49" i="22"/>
  <c r="AD11" i="43"/>
  <c r="AI44" i="43" a="1"/>
  <c r="AI44" i="43" s="1"/>
  <c r="C50" i="35"/>
  <c r="C20" i="94"/>
  <c r="C51" i="32" a="1"/>
  <c r="C51" i="32" s="1"/>
  <c r="C22" i="29"/>
  <c r="C20" i="26"/>
  <c r="C53" i="22"/>
  <c r="K11" i="43"/>
  <c r="R11" i="43"/>
  <c r="F11" i="43"/>
  <c r="D11" i="43"/>
  <c r="J11" i="43"/>
  <c r="T11" i="43"/>
  <c r="H11" i="43"/>
  <c r="O11" i="43"/>
  <c r="G11" i="43"/>
  <c r="L11" i="43"/>
  <c r="C11" i="43"/>
  <c r="V11" i="43"/>
  <c r="M11" i="43"/>
  <c r="E11" i="43"/>
  <c r="W11" i="43"/>
  <c r="P11" i="43"/>
  <c r="K46" i="43"/>
  <c r="AC46" i="43"/>
  <c r="N46" i="43"/>
  <c r="D42" i="23"/>
  <c r="G40" i="8"/>
  <c r="Y39" i="43"/>
  <c r="C46" i="43"/>
  <c r="U46" i="43"/>
  <c r="C46" i="23"/>
  <c r="C24" i="23"/>
  <c r="AJ24" i="43" a="1"/>
  <c r="AJ24" i="43" s="1"/>
  <c r="P24" i="43"/>
  <c r="Z24" i="43" a="1"/>
  <c r="Z24" i="43" s="1"/>
  <c r="X24" i="43"/>
  <c r="AC24" i="43"/>
  <c r="AF24" i="43"/>
  <c r="AA24" i="43"/>
  <c r="N24" i="43"/>
  <c r="K24" i="43"/>
  <c r="Q24" i="43"/>
  <c r="AE24" i="43"/>
  <c r="S24" i="43"/>
  <c r="AB24" i="43"/>
  <c r="AD24" i="43"/>
  <c r="U24" i="43"/>
  <c r="I24" i="43"/>
  <c r="C24" i="43"/>
  <c r="O24" i="43"/>
  <c r="L24" i="43"/>
  <c r="F24" i="43"/>
  <c r="H24" i="43"/>
  <c r="AH24" i="43" a="1"/>
  <c r="AH24" i="43" s="1"/>
  <c r="V24" i="43"/>
  <c r="D24" i="43"/>
  <c r="M24" i="43"/>
  <c r="J24" i="43"/>
  <c r="E24" i="43"/>
  <c r="W24" i="43"/>
  <c r="G24" i="43"/>
  <c r="T24" i="43"/>
  <c r="R24" i="43"/>
  <c r="C39" i="23"/>
  <c r="M39" i="43"/>
  <c r="AJ39" i="43" a="1"/>
  <c r="AJ39" i="43" s="1"/>
  <c r="Z39" i="43" a="1"/>
  <c r="Z39" i="43" s="1"/>
  <c r="AD39" i="43"/>
  <c r="AE39" i="43"/>
  <c r="T39" i="43"/>
  <c r="N39" i="43"/>
  <c r="K39" i="43"/>
  <c r="S39" i="43"/>
  <c r="AB39" i="43"/>
  <c r="AA39" i="43"/>
  <c r="R39" i="43"/>
  <c r="J39" i="43"/>
  <c r="E39" i="43"/>
  <c r="H39" i="43"/>
  <c r="P39" i="43"/>
  <c r="U39" i="43"/>
  <c r="Q39" i="43"/>
  <c r="AH39" i="43" a="1"/>
  <c r="AH39" i="43" s="1"/>
  <c r="X39" i="43"/>
  <c r="I39" i="43"/>
  <c r="C39" i="43"/>
  <c r="L39" i="43"/>
  <c r="F39" i="43"/>
  <c r="AF39" i="43"/>
  <c r="AC39" i="43"/>
  <c r="V39" i="43"/>
  <c r="D39" i="43"/>
  <c r="W39" i="43"/>
  <c r="O39" i="43"/>
  <c r="G39" i="43"/>
  <c r="D46" i="43"/>
  <c r="V46" i="43"/>
  <c r="C42" i="23"/>
  <c r="AD42" i="43"/>
  <c r="V42" i="43"/>
  <c r="J42" i="43"/>
  <c r="AJ42" i="43" a="1"/>
  <c r="AJ42" i="43" s="1"/>
  <c r="AB42" i="43"/>
  <c r="W42" i="43"/>
  <c r="AF42" i="43"/>
  <c r="U42" i="43"/>
  <c r="R42" i="43"/>
  <c r="AC42" i="43"/>
  <c r="T42" i="43"/>
  <c r="AH42" i="43" a="1"/>
  <c r="AH42" i="43" s="1"/>
  <c r="AE42" i="43"/>
  <c r="N42" i="43"/>
  <c r="K42" i="43"/>
  <c r="Z42" i="43" a="1"/>
  <c r="Z42" i="43" s="1"/>
  <c r="O42" i="43"/>
  <c r="G42" i="43"/>
  <c r="Q42" i="43"/>
  <c r="E42" i="43"/>
  <c r="C42" i="43"/>
  <c r="M42" i="43"/>
  <c r="I42" i="43"/>
  <c r="AA42" i="43"/>
  <c r="L42" i="43"/>
  <c r="H42" i="43"/>
  <c r="F42" i="43"/>
  <c r="X42" i="43"/>
  <c r="S42" i="43"/>
  <c r="P42" i="43"/>
  <c r="D42" i="43"/>
  <c r="T46" i="43"/>
  <c r="P46" i="43"/>
  <c r="L46" i="43"/>
  <c r="W46" i="43"/>
  <c r="S46" i="43"/>
  <c r="X46" i="43"/>
  <c r="Y42" i="43"/>
  <c r="C56" i="23"/>
  <c r="AF56" i="43"/>
  <c r="X56" i="43"/>
  <c r="L56" i="43"/>
  <c r="AE56" i="43"/>
  <c r="AH56" i="43" a="1"/>
  <c r="AH56" i="43" s="1"/>
  <c r="AC56" i="43"/>
  <c r="V56" i="43"/>
  <c r="U56" i="43"/>
  <c r="R56" i="43"/>
  <c r="O56" i="43"/>
  <c r="T56" i="43"/>
  <c r="AD56" i="43"/>
  <c r="AB56" i="43"/>
  <c r="AJ56" i="43" a="1"/>
  <c r="AJ56" i="43" s="1"/>
  <c r="K56" i="43"/>
  <c r="D56" i="43"/>
  <c r="AA56" i="43"/>
  <c r="M56" i="43"/>
  <c r="Q56" i="43"/>
  <c r="I56" i="43"/>
  <c r="W56" i="43"/>
  <c r="J56" i="43"/>
  <c r="G56" i="43"/>
  <c r="H56" i="43"/>
  <c r="N56" i="43"/>
  <c r="E56" i="43"/>
  <c r="S56" i="43"/>
  <c r="C56" i="43"/>
  <c r="Z56" i="43" a="1"/>
  <c r="Z56" i="43" s="1"/>
  <c r="P56" i="43"/>
  <c r="F56" i="43"/>
  <c r="C34" i="23"/>
  <c r="Z34" i="43" a="1"/>
  <c r="Z34" i="43" s="1"/>
  <c r="N34" i="43"/>
  <c r="AC34" i="43"/>
  <c r="AJ34" i="43" a="1"/>
  <c r="AJ34" i="43" s="1"/>
  <c r="AB34" i="43"/>
  <c r="AH34" i="43" a="1"/>
  <c r="AH34" i="43" s="1"/>
  <c r="X34" i="43"/>
  <c r="AE34" i="43"/>
  <c r="S34" i="43"/>
  <c r="AD34" i="43"/>
  <c r="W34" i="43"/>
  <c r="V34" i="43"/>
  <c r="L34" i="43"/>
  <c r="AF34" i="43"/>
  <c r="AA34" i="43"/>
  <c r="O34" i="43"/>
  <c r="F34" i="43"/>
  <c r="C34" i="43"/>
  <c r="H34" i="43"/>
  <c r="D34" i="43"/>
  <c r="P34" i="43"/>
  <c r="G34" i="43"/>
  <c r="K34" i="43"/>
  <c r="J34" i="43"/>
  <c r="E34" i="43"/>
  <c r="M34" i="43"/>
  <c r="Q34" i="43"/>
  <c r="T34" i="43"/>
  <c r="R34" i="43"/>
  <c r="U34" i="43"/>
  <c r="I34" i="43"/>
  <c r="D10" i="45"/>
  <c r="D22" i="45"/>
  <c r="D34" i="45"/>
  <c r="D46" i="45"/>
  <c r="D58" i="45"/>
  <c r="D13" i="38"/>
  <c r="D25" i="38"/>
  <c r="D37" i="38"/>
  <c r="D49" i="38"/>
  <c r="D61" i="38"/>
  <c r="D8" i="45"/>
  <c r="D21" i="45"/>
  <c r="D35" i="45"/>
  <c r="D48" i="45"/>
  <c r="D61" i="45"/>
  <c r="D9" i="45"/>
  <c r="D23" i="45"/>
  <c r="D36" i="45"/>
  <c r="D49" i="45"/>
  <c r="D7" i="45"/>
  <c r="D11" i="45"/>
  <c r="D24" i="45"/>
  <c r="D37" i="45"/>
  <c r="D50" i="45"/>
  <c r="D16" i="38"/>
  <c r="D29" i="38"/>
  <c r="D42" i="38"/>
  <c r="D55" i="38"/>
  <c r="D8" i="35"/>
  <c r="D20" i="35"/>
  <c r="D32" i="35"/>
  <c r="D44" i="35"/>
  <c r="D56" i="35"/>
  <c r="D12" i="32" a="1"/>
  <c r="D12" i="32" s="1"/>
  <c r="D14" i="45"/>
  <c r="D27" i="45"/>
  <c r="D40" i="45"/>
  <c r="D53" i="45"/>
  <c r="D28" i="45"/>
  <c r="D45" i="45"/>
  <c r="D10" i="38"/>
  <c r="D24" i="38"/>
  <c r="D39" i="38"/>
  <c r="D53" i="38"/>
  <c r="D16" i="35"/>
  <c r="D29" i="35"/>
  <c r="D42" i="35"/>
  <c r="D55" i="35"/>
  <c r="D29" i="45"/>
  <c r="D47" i="45"/>
  <c r="D11" i="38"/>
  <c r="D26" i="38"/>
  <c r="D40" i="38"/>
  <c r="D54" i="38"/>
  <c r="D12" i="45"/>
  <c r="D30" i="45"/>
  <c r="D51" i="45"/>
  <c r="D12" i="38"/>
  <c r="D27" i="38"/>
  <c r="D41" i="38"/>
  <c r="D56" i="38"/>
  <c r="D18" i="35"/>
  <c r="D31" i="35"/>
  <c r="D45" i="35"/>
  <c r="D58" i="35"/>
  <c r="D15" i="32" a="1"/>
  <c r="D15" i="32" s="1"/>
  <c r="D21" i="32" a="1"/>
  <c r="D21" i="32" s="1"/>
  <c r="D27" i="32" a="1"/>
  <c r="D27" i="32" s="1"/>
  <c r="D33" i="32" a="1"/>
  <c r="D33" i="32" s="1"/>
  <c r="D39" i="32" a="1"/>
  <c r="D39" i="32" s="1"/>
  <c r="D45" i="32" a="1"/>
  <c r="D45" i="32" s="1"/>
  <c r="D51" i="32" a="1"/>
  <c r="D51" i="32" s="1"/>
  <c r="D57" i="32" a="1"/>
  <c r="D57" i="32" s="1"/>
  <c r="D10" i="29"/>
  <c r="D22" i="29"/>
  <c r="D34" i="29"/>
  <c r="D46" i="29"/>
  <c r="D58" i="29"/>
  <c r="D13" i="45"/>
  <c r="D31" i="45"/>
  <c r="D52" i="45"/>
  <c r="D14" i="38"/>
  <c r="D28" i="38"/>
  <c r="D43" i="38"/>
  <c r="D57" i="38"/>
  <c r="D19" i="35"/>
  <c r="D33" i="35"/>
  <c r="D46" i="35"/>
  <c r="D59" i="35"/>
  <c r="D9" i="32" a="1"/>
  <c r="D9" i="32" s="1"/>
  <c r="D15" i="45"/>
  <c r="D32" i="45"/>
  <c r="D54" i="45"/>
  <c r="D15" i="38"/>
  <c r="D16" i="45"/>
  <c r="D33" i="45"/>
  <c r="D55" i="45"/>
  <c r="D17" i="38"/>
  <c r="D31" i="38"/>
  <c r="D45" i="38"/>
  <c r="D59" i="38"/>
  <c r="D19" i="45"/>
  <c r="D59" i="45"/>
  <c r="D33" i="38"/>
  <c r="D58" i="38"/>
  <c r="D22" i="35"/>
  <c r="D38" i="35"/>
  <c r="D54" i="35"/>
  <c r="D20" i="45"/>
  <c r="D60" i="45"/>
  <c r="D34" i="38"/>
  <c r="D60" i="38"/>
  <c r="D23" i="35"/>
  <c r="D39" i="35"/>
  <c r="D57" i="35"/>
  <c r="D25" i="45"/>
  <c r="D38" i="45"/>
  <c r="D18" i="38"/>
  <c r="D38" i="38"/>
  <c r="D10" i="35"/>
  <c r="D26" i="35"/>
  <c r="D43" i="35"/>
  <c r="D7" i="35"/>
  <c r="D16" i="32" a="1"/>
  <c r="D16" i="32" s="1"/>
  <c r="D39" i="45"/>
  <c r="D19" i="38"/>
  <c r="D44" i="38"/>
  <c r="D11" i="35"/>
  <c r="D27" i="35"/>
  <c r="D47" i="35"/>
  <c r="D8" i="32" a="1"/>
  <c r="D8" i="32" s="1"/>
  <c r="D14" i="29"/>
  <c r="D27" i="29"/>
  <c r="D40" i="29"/>
  <c r="D53" i="29"/>
  <c r="D16" i="26"/>
  <c r="D28" i="26"/>
  <c r="D40" i="26"/>
  <c r="D52" i="26"/>
  <c r="D43" i="45"/>
  <c r="D46" i="38"/>
  <c r="D12" i="35"/>
  <c r="D36" i="35"/>
  <c r="D30" i="32" a="1"/>
  <c r="D30" i="32" s="1"/>
  <c r="D38" i="32" a="1"/>
  <c r="D38" i="32" s="1"/>
  <c r="D54" i="32" a="1"/>
  <c r="D54" i="32" s="1"/>
  <c r="D17" i="29"/>
  <c r="D31" i="29"/>
  <c r="D45" i="29"/>
  <c r="D60" i="29"/>
  <c r="D20" i="26"/>
  <c r="D33" i="26"/>
  <c r="D46" i="26"/>
  <c r="D59" i="26"/>
  <c r="D9" i="22"/>
  <c r="D21" i="22"/>
  <c r="D33" i="22"/>
  <c r="D45" i="22"/>
  <c r="D57" i="22"/>
  <c r="D36" i="23"/>
  <c r="D44" i="45"/>
  <c r="D47" i="38"/>
  <c r="D13" i="35"/>
  <c r="D37" i="35"/>
  <c r="D14" i="32" a="1"/>
  <c r="D14" i="32" s="1"/>
  <c r="D23" i="32" a="1"/>
  <c r="D23" i="32" s="1"/>
  <c r="D31" i="32" a="1"/>
  <c r="D31" i="32" s="1"/>
  <c r="D47" i="32" a="1"/>
  <c r="D47" i="32" s="1"/>
  <c r="D7" i="32" a="1"/>
  <c r="D7" i="32" s="1"/>
  <c r="D18" i="29"/>
  <c r="D32" i="29"/>
  <c r="D47" i="29"/>
  <c r="D61" i="29"/>
  <c r="D8" i="26"/>
  <c r="D21" i="26"/>
  <c r="D34" i="26"/>
  <c r="D47" i="26"/>
  <c r="D60" i="26"/>
  <c r="D10" i="22"/>
  <c r="D22" i="22"/>
  <c r="D34" i="22"/>
  <c r="D46" i="22"/>
  <c r="D58" i="22"/>
  <c r="D56" i="45"/>
  <c r="D8" i="38"/>
  <c r="D48" i="38"/>
  <c r="D14" i="35"/>
  <c r="D40" i="35"/>
  <c r="D24" i="32" a="1"/>
  <c r="D24" i="32" s="1"/>
  <c r="D40" i="32" a="1"/>
  <c r="D40" i="32" s="1"/>
  <c r="D55" i="32" a="1"/>
  <c r="D55" i="32" s="1"/>
  <c r="D19" i="29"/>
  <c r="D33" i="29"/>
  <c r="D48" i="29"/>
  <c r="D7" i="29"/>
  <c r="D9" i="26"/>
  <c r="D22" i="26"/>
  <c r="D35" i="26"/>
  <c r="D48" i="26"/>
  <c r="D61" i="26"/>
  <c r="D11" i="22"/>
  <c r="D23" i="22"/>
  <c r="D35" i="22"/>
  <c r="D47" i="22"/>
  <c r="D59" i="22"/>
  <c r="P36" i="43"/>
  <c r="D20" i="38"/>
  <c r="D51" i="38"/>
  <c r="D17" i="35"/>
  <c r="D48" i="35"/>
  <c r="D25" i="32" a="1"/>
  <c r="D25" i="32" s="1"/>
  <c r="D41" i="32" a="1"/>
  <c r="D41" i="32" s="1"/>
  <c r="D56" i="32" a="1"/>
  <c r="D56" i="32" s="1"/>
  <c r="D21" i="29"/>
  <c r="D36" i="29"/>
  <c r="D50" i="29"/>
  <c r="D11" i="26"/>
  <c r="D24" i="26"/>
  <c r="D37" i="26"/>
  <c r="D50" i="26"/>
  <c r="D13" i="22"/>
  <c r="D25" i="22"/>
  <c r="D37" i="22"/>
  <c r="D49" i="22"/>
  <c r="D61" i="22"/>
  <c r="D21" i="38"/>
  <c r="D52" i="38"/>
  <c r="D21" i="35"/>
  <c r="D49" i="35"/>
  <c r="D18" i="32" a="1"/>
  <c r="D18" i="32" s="1"/>
  <c r="D34" i="32" a="1"/>
  <c r="D34" i="32" s="1"/>
  <c r="D49" i="32" a="1"/>
  <c r="D49" i="32" s="1"/>
  <c r="D8" i="29"/>
  <c r="D23" i="29"/>
  <c r="D37" i="29"/>
  <c r="D51" i="29"/>
  <c r="D12" i="26"/>
  <c r="D25" i="26"/>
  <c r="D38" i="26"/>
  <c r="D51" i="26"/>
  <c r="D14" i="22"/>
  <c r="D26" i="22"/>
  <c r="D38" i="22"/>
  <c r="D50" i="22"/>
  <c r="D7" i="22"/>
  <c r="D41" i="45"/>
  <c r="D35" i="38"/>
  <c r="D34" i="35"/>
  <c r="D60" i="35"/>
  <c r="D29" i="32" a="1"/>
  <c r="D29" i="32" s="1"/>
  <c r="D44" i="32" a="1"/>
  <c r="D44" i="32" s="1"/>
  <c r="D53" i="32" a="1"/>
  <c r="D53" i="32" s="1"/>
  <c r="D15" i="29"/>
  <c r="D29" i="29"/>
  <c r="D43" i="29"/>
  <c r="D57" i="29"/>
  <c r="D18" i="26"/>
  <c r="D31" i="26"/>
  <c r="D44" i="26"/>
  <c r="D57" i="26"/>
  <c r="D19" i="22"/>
  <c r="D31" i="22"/>
  <c r="D43" i="22"/>
  <c r="D55" i="22"/>
  <c r="D7" i="38"/>
  <c r="D24" i="35"/>
  <c r="D10" i="32" a="1"/>
  <c r="D10" i="32" s="1"/>
  <c r="D26" i="32" a="1"/>
  <c r="D26" i="32" s="1"/>
  <c r="D42" i="32" a="1"/>
  <c r="D42" i="32" s="1"/>
  <c r="D58" i="32" a="1"/>
  <c r="D58" i="32" s="1"/>
  <c r="D9" i="29"/>
  <c r="D38" i="29"/>
  <c r="D13" i="26"/>
  <c r="D39" i="26"/>
  <c r="D27" i="22"/>
  <c r="D51" i="22"/>
  <c r="X36" i="43"/>
  <c r="D17" i="45"/>
  <c r="D25" i="35"/>
  <c r="D11" i="29"/>
  <c r="D39" i="29"/>
  <c r="D14" i="26"/>
  <c r="D41" i="26"/>
  <c r="D28" i="22"/>
  <c r="D52" i="22"/>
  <c r="D18" i="45"/>
  <c r="D28" i="35"/>
  <c r="D11" i="32" a="1"/>
  <c r="D11" i="32" s="1"/>
  <c r="D28" i="32" a="1"/>
  <c r="D28" i="32" s="1"/>
  <c r="D43" i="32" a="1"/>
  <c r="D43" i="32" s="1"/>
  <c r="D59" i="32" a="1"/>
  <c r="D59" i="32" s="1"/>
  <c r="D12" i="29"/>
  <c r="D41" i="29"/>
  <c r="D15" i="26"/>
  <c r="D42" i="26"/>
  <c r="D29" i="22"/>
  <c r="D53" i="22"/>
  <c r="AH36" i="43" a="1"/>
  <c r="AH36" i="43" s="1"/>
  <c r="D26" i="45"/>
  <c r="D30" i="35"/>
  <c r="D60" i="32" a="1"/>
  <c r="D60" i="32" s="1"/>
  <c r="D13" i="29"/>
  <c r="D42" i="29"/>
  <c r="D17" i="26"/>
  <c r="D43" i="26"/>
  <c r="D30" i="22"/>
  <c r="D54" i="22"/>
  <c r="AF36" i="43"/>
  <c r="D32" i="38"/>
  <c r="D53" i="35"/>
  <c r="D20" i="32" a="1"/>
  <c r="D20" i="32" s="1"/>
  <c r="D36" i="32" a="1"/>
  <c r="D36" i="32" s="1"/>
  <c r="D52" i="32" a="1"/>
  <c r="D52" i="32" s="1"/>
  <c r="D28" i="29"/>
  <c r="D56" i="29"/>
  <c r="D30" i="26"/>
  <c r="D56" i="26"/>
  <c r="D18" i="22"/>
  <c r="D42" i="22"/>
  <c r="D36" i="38"/>
  <c r="D9" i="35"/>
  <c r="D61" i="35"/>
  <c r="D22" i="32" a="1"/>
  <c r="D22" i="32" s="1"/>
  <c r="D37" i="32" a="1"/>
  <c r="D37" i="32" s="1"/>
  <c r="D30" i="29"/>
  <c r="D59" i="29"/>
  <c r="D32" i="26"/>
  <c r="D58" i="26"/>
  <c r="D20" i="22"/>
  <c r="D44" i="22"/>
  <c r="AA36" i="43"/>
  <c r="U36" i="43"/>
  <c r="D50" i="38"/>
  <c r="D15" i="35"/>
  <c r="D9" i="38"/>
  <c r="D32" i="32" a="1"/>
  <c r="D32" i="32" s="1"/>
  <c r="D24" i="29"/>
  <c r="D26" i="26"/>
  <c r="D15" i="22"/>
  <c r="AJ36" i="43" a="1"/>
  <c r="AJ36" i="43" s="1"/>
  <c r="K36" i="43"/>
  <c r="D22" i="38"/>
  <c r="D25" i="29"/>
  <c r="D27" i="26"/>
  <c r="D16" i="22"/>
  <c r="Q36" i="43"/>
  <c r="D23" i="38"/>
  <c r="D35" i="35"/>
  <c r="D35" i="32" a="1"/>
  <c r="D35" i="32" s="1"/>
  <c r="D26" i="29"/>
  <c r="D29" i="26"/>
  <c r="D17" i="22"/>
  <c r="AE36" i="43"/>
  <c r="Z36" i="43" a="1"/>
  <c r="Z36" i="43" s="1"/>
  <c r="S36" i="43"/>
  <c r="D30" i="38"/>
  <c r="D41" i="35"/>
  <c r="D35" i="29"/>
  <c r="D36" i="26"/>
  <c r="D24" i="22"/>
  <c r="D50" i="35"/>
  <c r="D46" i="32" a="1"/>
  <c r="D46" i="32" s="1"/>
  <c r="D44" i="29"/>
  <c r="D45" i="26"/>
  <c r="D32" i="22"/>
  <c r="AB36" i="43"/>
  <c r="D51" i="35"/>
  <c r="D48" i="32" a="1"/>
  <c r="D48" i="32" s="1"/>
  <c r="D49" i="29"/>
  <c r="D49" i="26"/>
  <c r="D36" i="22"/>
  <c r="AD36" i="43"/>
  <c r="D42" i="45"/>
  <c r="D52" i="35"/>
  <c r="D13" i="32" a="1"/>
  <c r="D13" i="32" s="1"/>
  <c r="D52" i="29"/>
  <c r="D53" i="26"/>
  <c r="D39" i="22"/>
  <c r="D57" i="45"/>
  <c r="D17" i="32" a="1"/>
  <c r="D17" i="32" s="1"/>
  <c r="D50" i="32" a="1"/>
  <c r="D50" i="32" s="1"/>
  <c r="D54" i="29"/>
  <c r="D54" i="26"/>
  <c r="D40" i="22"/>
  <c r="D55" i="29"/>
  <c r="D55" i="26"/>
  <c r="D41" i="22"/>
  <c r="D19" i="32" a="1"/>
  <c r="D19" i="32" s="1"/>
  <c r="D61" i="32" a="1"/>
  <c r="D61" i="32" s="1"/>
  <c r="D10" i="26"/>
  <c r="D7" i="26"/>
  <c r="D48" i="22"/>
  <c r="D16" i="29"/>
  <c r="D19" i="26"/>
  <c r="D8" i="22"/>
  <c r="D56" i="22"/>
  <c r="D20" i="29"/>
  <c r="D23" i="26"/>
  <c r="D12" i="22"/>
  <c r="D60" i="22"/>
  <c r="L36" i="43"/>
  <c r="O36" i="43"/>
  <c r="F36" i="43"/>
  <c r="W36" i="43"/>
  <c r="V36" i="43"/>
  <c r="H36" i="43"/>
  <c r="C36" i="43"/>
  <c r="AC36" i="43"/>
  <c r="D36" i="43"/>
  <c r="M36" i="43"/>
  <c r="E36" i="43"/>
  <c r="G36" i="43"/>
  <c r="R36" i="43"/>
  <c r="N36" i="43"/>
  <c r="J36" i="43"/>
  <c r="T36" i="43"/>
  <c r="I36" i="43"/>
  <c r="C37" i="23"/>
  <c r="AJ37" i="43" a="1"/>
  <c r="AJ37" i="43" s="1"/>
  <c r="AE37" i="43"/>
  <c r="W37" i="43"/>
  <c r="K37" i="43"/>
  <c r="AD37" i="43"/>
  <c r="AC37" i="43"/>
  <c r="AH37" i="43" a="1"/>
  <c r="AH37" i="43" s="1"/>
  <c r="N37" i="43"/>
  <c r="Q37" i="43"/>
  <c r="S37" i="43"/>
  <c r="Z37" i="43" a="1"/>
  <c r="Z37" i="43" s="1"/>
  <c r="AB37" i="43"/>
  <c r="P37" i="43"/>
  <c r="AF37" i="43"/>
  <c r="I37" i="43"/>
  <c r="C37" i="43"/>
  <c r="U37" i="43"/>
  <c r="L37" i="43"/>
  <c r="O37" i="43"/>
  <c r="F37" i="43"/>
  <c r="T37" i="43"/>
  <c r="AA37" i="43"/>
  <c r="V37" i="43"/>
  <c r="H37" i="43"/>
  <c r="D37" i="43"/>
  <c r="X37" i="43"/>
  <c r="M37" i="43"/>
  <c r="G37" i="43"/>
  <c r="R37" i="43"/>
  <c r="J37" i="43"/>
  <c r="E37" i="43"/>
  <c r="C40" i="23"/>
  <c r="AB40" i="43"/>
  <c r="T40" i="43"/>
  <c r="H40" i="43"/>
  <c r="AH40" i="43" a="1"/>
  <c r="AH40" i="43" s="1"/>
  <c r="AA40" i="43"/>
  <c r="AD40" i="43"/>
  <c r="AC40" i="43"/>
  <c r="O40" i="43"/>
  <c r="AJ40" i="43" a="1"/>
  <c r="AJ40" i="43" s="1"/>
  <c r="AE40" i="43"/>
  <c r="Q40" i="43"/>
  <c r="Z40" i="43" a="1"/>
  <c r="Z40" i="43" s="1"/>
  <c r="AF40" i="43"/>
  <c r="G40" i="43"/>
  <c r="C40" i="43"/>
  <c r="R40" i="43"/>
  <c r="J40" i="43"/>
  <c r="E40" i="43"/>
  <c r="U40" i="43"/>
  <c r="N40" i="43"/>
  <c r="I40" i="43"/>
  <c r="M40" i="43"/>
  <c r="W40" i="43"/>
  <c r="F40" i="43"/>
  <c r="V40" i="43"/>
  <c r="L40" i="43"/>
  <c r="X40" i="43"/>
  <c r="S40" i="43"/>
  <c r="P40" i="43"/>
  <c r="D40" i="43"/>
  <c r="K40" i="43"/>
  <c r="C41" i="23"/>
  <c r="Z41" i="43" a="1"/>
  <c r="Z41" i="43" s="1"/>
  <c r="O41" i="43"/>
  <c r="AE41" i="43"/>
  <c r="AA41" i="43"/>
  <c r="AJ41" i="43" a="1"/>
  <c r="AJ41" i="43" s="1"/>
  <c r="V41" i="43"/>
  <c r="L41" i="43"/>
  <c r="AH41" i="43" a="1"/>
  <c r="AH41" i="43" s="1"/>
  <c r="AC41" i="43"/>
  <c r="T41" i="43"/>
  <c r="AD41" i="43"/>
  <c r="N41" i="43"/>
  <c r="AF41" i="43"/>
  <c r="AB41" i="43"/>
  <c r="F41" i="43"/>
  <c r="X41" i="43"/>
  <c r="S41" i="43"/>
  <c r="D41" i="43"/>
  <c r="G41" i="43"/>
  <c r="R41" i="43"/>
  <c r="Q41" i="43"/>
  <c r="J41" i="43"/>
  <c r="E41" i="43"/>
  <c r="H41" i="43"/>
  <c r="P41" i="43"/>
  <c r="U41" i="43"/>
  <c r="K41" i="43"/>
  <c r="I41" i="43"/>
  <c r="C41" i="43"/>
  <c r="W41" i="43"/>
  <c r="M41" i="43"/>
  <c r="E45" i="23"/>
  <c r="F7" i="107" s="1"/>
  <c r="E35" i="35"/>
  <c r="E51" i="45"/>
  <c r="E58" i="38"/>
  <c r="E22" i="38"/>
  <c r="E23" i="45"/>
  <c r="E31" i="35"/>
  <c r="E20" i="26"/>
  <c r="E20" i="32" a="1"/>
  <c r="E20" i="32" s="1"/>
  <c r="E39" i="35"/>
  <c r="E41" i="38"/>
  <c r="E28" i="32" a="1"/>
  <c r="E28" i="32" s="1"/>
  <c r="E14" i="22"/>
  <c r="E44" i="29"/>
  <c r="E60" i="38"/>
  <c r="E16" i="22"/>
  <c r="E15" i="29"/>
  <c r="E58" i="45"/>
  <c r="E7" i="29"/>
  <c r="E51" i="35"/>
  <c r="E57" i="22"/>
  <c r="E18" i="26"/>
  <c r="E41" i="32" a="1"/>
  <c r="E41" i="32" s="1"/>
  <c r="E43" i="26"/>
  <c r="E36" i="22"/>
  <c r="E19" i="45"/>
  <c r="E26" i="29"/>
  <c r="E33" i="29"/>
  <c r="E21" i="29"/>
  <c r="E42" i="29"/>
  <c r="E51" i="29"/>
  <c r="E52" i="35"/>
  <c r="E14" i="32" a="1"/>
  <c r="E14" i="32" s="1"/>
  <c r="E50" i="26"/>
  <c r="E22" i="35"/>
  <c r="E49" i="38"/>
  <c r="E17" i="45"/>
  <c r="E47" i="35"/>
  <c r="E17" i="38"/>
  <c r="E10" i="35"/>
  <c r="E22" i="45"/>
  <c r="E45" i="45"/>
  <c r="E45" i="35"/>
  <c r="E32" i="26"/>
  <c r="E27" i="32" a="1"/>
  <c r="E27" i="32" s="1"/>
  <c r="E10" i="45"/>
  <c r="E56" i="35"/>
  <c r="E26" i="35"/>
  <c r="E43" i="32" a="1"/>
  <c r="E43" i="32" s="1"/>
  <c r="E26" i="22"/>
  <c r="E58" i="29"/>
  <c r="E9" i="35"/>
  <c r="E29" i="22"/>
  <c r="E32" i="29"/>
  <c r="E25" i="38"/>
  <c r="E12" i="26"/>
  <c r="E22" i="32" a="1"/>
  <c r="E22" i="32" s="1"/>
  <c r="E20" i="45"/>
  <c r="E33" i="26"/>
  <c r="E36" i="29"/>
  <c r="E9" i="22"/>
  <c r="E60" i="22"/>
  <c r="E55" i="35"/>
  <c r="E57" i="29"/>
  <c r="E61" i="29"/>
  <c r="E30" i="26"/>
  <c r="E52" i="26"/>
  <c r="E57" i="26"/>
  <c r="E25" i="26"/>
  <c r="E11" i="38"/>
  <c r="E15" i="26"/>
  <c r="E29" i="45"/>
  <c r="E59" i="35"/>
  <c r="E30" i="38"/>
  <c r="E24" i="35"/>
  <c r="E44" i="45"/>
  <c r="E7" i="45"/>
  <c r="E60" i="35"/>
  <c r="E8" i="45"/>
  <c r="E40" i="32" a="1"/>
  <c r="E40" i="32" s="1"/>
  <c r="E32" i="45"/>
  <c r="E8" i="32" a="1"/>
  <c r="E8" i="32" s="1"/>
  <c r="E44" i="35"/>
  <c r="E52" i="32" a="1"/>
  <c r="E52" i="32" s="1"/>
  <c r="E33" i="45"/>
  <c r="E21" i="26"/>
  <c r="E38" i="35"/>
  <c r="E41" i="22"/>
  <c r="E46" i="29"/>
  <c r="E14" i="35"/>
  <c r="E26" i="26"/>
  <c r="E20" i="29"/>
  <c r="E48" i="38"/>
  <c r="E46" i="26"/>
  <c r="E14" i="26"/>
  <c r="E35" i="22"/>
  <c r="E47" i="38"/>
  <c r="E34" i="32" a="1"/>
  <c r="E34" i="32" s="1"/>
  <c r="E34" i="26"/>
  <c r="E53" i="35"/>
  <c r="E23" i="22"/>
  <c r="E43" i="22"/>
  <c r="E48" i="22"/>
  <c r="E18" i="22"/>
  <c r="E34" i="35"/>
  <c r="E54" i="38"/>
  <c r="E16" i="35"/>
  <c r="E60" i="32" a="1"/>
  <c r="E60" i="32" s="1"/>
  <c r="E41" i="45"/>
  <c r="E11" i="45"/>
  <c r="E43" i="38"/>
  <c r="E37" i="35"/>
  <c r="E61" i="45"/>
  <c r="E15" i="38"/>
  <c r="E13" i="32" a="1"/>
  <c r="E13" i="32" s="1"/>
  <c r="E28" i="45"/>
  <c r="E47" i="32" a="1"/>
  <c r="E47" i="32" s="1"/>
  <c r="E49" i="45"/>
  <c r="E36" i="45"/>
  <c r="E35" i="32" a="1"/>
  <c r="E35" i="32" s="1"/>
  <c r="E14" i="29"/>
  <c r="E10" i="38"/>
  <c r="E36" i="26"/>
  <c r="E37" i="32" a="1"/>
  <c r="E37" i="32" s="1"/>
  <c r="E53" i="22"/>
  <c r="E60" i="29"/>
  <c r="E49" i="35"/>
  <c r="E40" i="26"/>
  <c r="E35" i="29"/>
  <c r="E33" i="35"/>
  <c r="E60" i="26"/>
  <c r="E42" i="26"/>
  <c r="E59" i="22"/>
  <c r="E30" i="35"/>
  <c r="E55" i="32" a="1"/>
  <c r="E55" i="32" s="1"/>
  <c r="E61" i="26"/>
  <c r="E32" i="32" a="1"/>
  <c r="E32" i="32" s="1"/>
  <c r="E50" i="32" a="1"/>
  <c r="E50" i="32" s="1"/>
  <c r="E59" i="26"/>
  <c r="E10" i="22"/>
  <c r="E53" i="45"/>
  <c r="E24" i="45"/>
  <c r="E57" i="38"/>
  <c r="E50" i="35"/>
  <c r="E14" i="38"/>
  <c r="E36" i="38"/>
  <c r="E26" i="32" a="1"/>
  <c r="E26" i="32" s="1"/>
  <c r="E47" i="45"/>
  <c r="E18" i="29"/>
  <c r="E24" i="38"/>
  <c r="E28" i="38"/>
  <c r="E7" i="32" a="1"/>
  <c r="E7" i="32" s="1"/>
  <c r="E28" i="29"/>
  <c r="E59" i="38"/>
  <c r="E49" i="26"/>
  <c r="E58" i="32" a="1"/>
  <c r="E58" i="32" s="1"/>
  <c r="E42" i="45"/>
  <c r="E10" i="26"/>
  <c r="E10" i="32" a="1"/>
  <c r="E10" i="32" s="1"/>
  <c r="E53" i="26"/>
  <c r="E49" i="29"/>
  <c r="E7" i="35"/>
  <c r="E12" i="22"/>
  <c r="E8" i="22"/>
  <c r="E46" i="38"/>
  <c r="E24" i="32" a="1"/>
  <c r="E24" i="32" s="1"/>
  <c r="E24" i="29"/>
  <c r="E27" i="22"/>
  <c r="E11" i="29"/>
  <c r="E22" i="29"/>
  <c r="E47" i="29"/>
  <c r="E52" i="29"/>
  <c r="E54" i="45"/>
  <c r="E55" i="29"/>
  <c r="E25" i="32" a="1"/>
  <c r="E25" i="32" s="1"/>
  <c r="E8" i="38"/>
  <c r="E37" i="45"/>
  <c r="E13" i="45"/>
  <c r="E51" i="32" a="1"/>
  <c r="E51" i="32" s="1"/>
  <c r="E35" i="38"/>
  <c r="E51" i="38"/>
  <c r="E33" i="32" a="1"/>
  <c r="E33" i="32" s="1"/>
  <c r="E21" i="38"/>
  <c r="E30" i="29"/>
  <c r="E40" i="38"/>
  <c r="E7" i="38"/>
  <c r="E15" i="45"/>
  <c r="E43" i="29"/>
  <c r="E8" i="35"/>
  <c r="E7" i="26"/>
  <c r="E13" i="29"/>
  <c r="E12" i="38"/>
  <c r="E24" i="26"/>
  <c r="E30" i="32" a="1"/>
  <c r="E30" i="32" s="1"/>
  <c r="E19" i="22"/>
  <c r="E13" i="26"/>
  <c r="E16" i="32" a="1"/>
  <c r="E16" i="32" s="1"/>
  <c r="E25" i="22"/>
  <c r="E34" i="22"/>
  <c r="E28" i="35"/>
  <c r="E9" i="29"/>
  <c r="E54" i="29"/>
  <c r="E51" i="22"/>
  <c r="E28" i="26"/>
  <c r="E39" i="26"/>
  <c r="E55" i="26"/>
  <c r="E11" i="26"/>
  <c r="E55" i="22"/>
  <c r="E27" i="29"/>
  <c r="E61" i="22"/>
  <c r="E20" i="38"/>
  <c r="E50" i="45"/>
  <c r="E26" i="45"/>
  <c r="E59" i="32" a="1"/>
  <c r="E59" i="32" s="1"/>
  <c r="E50" i="38"/>
  <c r="E27" i="45"/>
  <c r="E54" i="32" a="1"/>
  <c r="E54" i="32" s="1"/>
  <c r="E38" i="38"/>
  <c r="E9" i="45"/>
  <c r="E55" i="38"/>
  <c r="E21" i="35"/>
  <c r="E55" i="45"/>
  <c r="E56" i="29"/>
  <c r="E36" i="35"/>
  <c r="E15" i="22"/>
  <c r="E31" i="29"/>
  <c r="E12" i="35"/>
  <c r="E38" i="26"/>
  <c r="E39" i="32" a="1"/>
  <c r="E39" i="32" s="1"/>
  <c r="E32" i="22"/>
  <c r="E27" i="26"/>
  <c r="E44" i="32" a="1"/>
  <c r="E44" i="32" s="1"/>
  <c r="E38" i="22"/>
  <c r="E58" i="22"/>
  <c r="E42" i="32" a="1"/>
  <c r="E42" i="32" s="1"/>
  <c r="E39" i="29"/>
  <c r="E31" i="26"/>
  <c r="E57" i="45"/>
  <c r="E21" i="22"/>
  <c r="E31" i="22"/>
  <c r="E46" i="22"/>
  <c r="E17" i="35"/>
  <c r="E48" i="32" a="1"/>
  <c r="E48" i="32" s="1"/>
  <c r="E32" i="38"/>
  <c r="E16" i="38"/>
  <c r="E39" i="45"/>
  <c r="E16" i="45"/>
  <c r="E15" i="35"/>
  <c r="E46" i="45"/>
  <c r="E17" i="29"/>
  <c r="E53" i="38"/>
  <c r="E31" i="45"/>
  <c r="E20" i="35"/>
  <c r="E40" i="35"/>
  <c r="E42" i="38"/>
  <c r="E9" i="26"/>
  <c r="E17" i="32" a="1"/>
  <c r="E17" i="32" s="1"/>
  <c r="E28" i="22"/>
  <c r="E45" i="29"/>
  <c r="E41" i="35"/>
  <c r="E51" i="26"/>
  <c r="E49" i="32" a="1"/>
  <c r="E49" i="32" s="1"/>
  <c r="E44" i="22"/>
  <c r="E41" i="26"/>
  <c r="E56" i="32" a="1"/>
  <c r="E56" i="32" s="1"/>
  <c r="E50" i="22"/>
  <c r="E34" i="38"/>
  <c r="E8" i="29"/>
  <c r="E17" i="26"/>
  <c r="E58" i="26"/>
  <c r="E13" i="38"/>
  <c r="E54" i="35"/>
  <c r="E23" i="29"/>
  <c r="E15" i="32" a="1"/>
  <c r="E15" i="32" s="1"/>
  <c r="E42" i="35"/>
  <c r="E19" i="35"/>
  <c r="E45" i="22"/>
  <c r="E53" i="32" a="1"/>
  <c r="E53" i="32" s="1"/>
  <c r="E44" i="38"/>
  <c r="E29" i="38"/>
  <c r="E52" i="45"/>
  <c r="E30" i="45"/>
  <c r="E29" i="35"/>
  <c r="E19" i="38"/>
  <c r="E29" i="29"/>
  <c r="E18" i="35"/>
  <c r="E48" i="45"/>
  <c r="E35" i="45"/>
  <c r="E58" i="35"/>
  <c r="E27" i="35"/>
  <c r="E22" i="26"/>
  <c r="E46" i="32" a="1"/>
  <c r="E46" i="32" s="1"/>
  <c r="E40" i="22"/>
  <c r="E59" i="29"/>
  <c r="E9" i="32" a="1"/>
  <c r="E9" i="32" s="1"/>
  <c r="E17" i="22"/>
  <c r="E61" i="32" a="1"/>
  <c r="E61" i="32" s="1"/>
  <c r="E56" i="22"/>
  <c r="E54" i="26"/>
  <c r="E10" i="29"/>
  <c r="E7" i="22"/>
  <c r="E25" i="35"/>
  <c r="E38" i="29"/>
  <c r="E45" i="26"/>
  <c r="E24" i="22"/>
  <c r="E13" i="35"/>
  <c r="E45" i="32" a="1"/>
  <c r="E45" i="32" s="1"/>
  <c r="E48" i="26"/>
  <c r="E50" i="29"/>
  <c r="E31" i="32" a="1"/>
  <c r="E31" i="32" s="1"/>
  <c r="E16" i="29"/>
  <c r="E56" i="26"/>
  <c r="E61" i="35"/>
  <c r="E54" i="22"/>
  <c r="E36" i="32" a="1"/>
  <c r="E36" i="32" s="1"/>
  <c r="E56" i="38"/>
  <c r="E12" i="45"/>
  <c r="E18" i="38"/>
  <c r="E43" i="45"/>
  <c r="E43" i="35"/>
  <c r="E37" i="38"/>
  <c r="E41" i="29"/>
  <c r="E32" i="35"/>
  <c r="E23" i="38"/>
  <c r="E27" i="38"/>
  <c r="E40" i="45"/>
  <c r="E48" i="35"/>
  <c r="E35" i="26"/>
  <c r="E57" i="32" a="1"/>
  <c r="E57" i="32" s="1"/>
  <c r="E52" i="22"/>
  <c r="E23" i="26"/>
  <c r="E18" i="32" a="1"/>
  <c r="E18" i="32" s="1"/>
  <c r="E30" i="22"/>
  <c r="E19" i="29"/>
  <c r="E59" i="45"/>
  <c r="E20" i="22"/>
  <c r="E25" i="29"/>
  <c r="E60" i="45"/>
  <c r="E23" i="32" a="1"/>
  <c r="E23" i="32" s="1"/>
  <c r="E16" i="26"/>
  <c r="E11" i="22"/>
  <c r="E49" i="22"/>
  <c r="E21" i="32" a="1"/>
  <c r="E21" i="32" s="1"/>
  <c r="E39" i="22"/>
  <c r="E19" i="26"/>
  <c r="E8" i="26"/>
  <c r="E48" i="29"/>
  <c r="E22" i="22"/>
  <c r="E11" i="35"/>
  <c r="E25" i="45"/>
  <c r="E31" i="38"/>
  <c r="E56" i="45"/>
  <c r="E57" i="35"/>
  <c r="E52" i="38"/>
  <c r="E53" i="29"/>
  <c r="E46" i="35"/>
  <c r="E39" i="38"/>
  <c r="E61" i="38"/>
  <c r="E14" i="45"/>
  <c r="E11" i="32" a="1"/>
  <c r="E11" i="32" s="1"/>
  <c r="E47" i="26"/>
  <c r="E12" i="29"/>
  <c r="E34" i="45"/>
  <c r="E37" i="26"/>
  <c r="E29" i="32" a="1"/>
  <c r="E29" i="32" s="1"/>
  <c r="E42" i="22"/>
  <c r="E34" i="29"/>
  <c r="E26" i="38"/>
  <c r="E33" i="22"/>
  <c r="E40" i="29"/>
  <c r="E33" i="38"/>
  <c r="E37" i="29"/>
  <c r="E44" i="26"/>
  <c r="E37" i="22"/>
  <c r="E21" i="45"/>
  <c r="E38" i="32" a="1"/>
  <c r="E38" i="32" s="1"/>
  <c r="E29" i="26"/>
  <c r="E18" i="45"/>
  <c r="E47" i="22"/>
  <c r="E13" i="22"/>
  <c r="E23" i="35"/>
  <c r="E38" i="45"/>
  <c r="E45" i="38"/>
  <c r="E9" i="38"/>
  <c r="E12" i="32" a="1"/>
  <c r="E12" i="32" s="1"/>
  <c r="E19" i="32" a="1"/>
  <c r="E19" i="32" s="1"/>
  <c r="I46" i="43"/>
  <c r="E46" i="43"/>
  <c r="E37" i="36"/>
  <c r="E35" i="39"/>
  <c r="E24" i="36"/>
  <c r="E7" i="36"/>
  <c r="E9" i="36"/>
  <c r="E10" i="36"/>
  <c r="E55" i="36"/>
  <c r="E34" i="36"/>
  <c r="E35" i="36"/>
  <c r="E58" i="36"/>
  <c r="E21" i="36"/>
  <c r="E19" i="39"/>
  <c r="E49" i="36"/>
  <c r="E14" i="36"/>
  <c r="E47" i="39"/>
  <c r="E31" i="36"/>
  <c r="E32" i="36"/>
  <c r="E56" i="36"/>
  <c r="E57" i="36"/>
  <c r="E19" i="36"/>
  <c r="E31" i="39"/>
  <c r="E61" i="36"/>
  <c r="E26" i="36"/>
  <c r="E59" i="39"/>
  <c r="E22" i="36"/>
  <c r="E46" i="36"/>
  <c r="E48" i="36"/>
  <c r="E28" i="39"/>
  <c r="E12" i="39"/>
  <c r="E43" i="39"/>
  <c r="E8" i="39"/>
  <c r="E38" i="36"/>
  <c r="E15" i="36"/>
  <c r="E44" i="36"/>
  <c r="E14" i="39"/>
  <c r="E55" i="39"/>
  <c r="E20" i="39"/>
  <c r="E50" i="36"/>
  <c r="E27" i="36"/>
  <c r="E38" i="39"/>
  <c r="E36" i="36"/>
  <c r="E36" i="39"/>
  <c r="E60" i="36"/>
  <c r="E20" i="36"/>
  <c r="E43" i="36"/>
  <c r="E32" i="39"/>
  <c r="E9" i="39"/>
  <c r="E39" i="36"/>
  <c r="E16" i="36"/>
  <c r="E17" i="39"/>
  <c r="E7" i="39"/>
  <c r="E16" i="39"/>
  <c r="E54" i="36"/>
  <c r="E25" i="39"/>
  <c r="E44" i="39"/>
  <c r="E21" i="39"/>
  <c r="E51" i="36"/>
  <c r="E28" i="36"/>
  <c r="E29" i="39"/>
  <c r="E40" i="39"/>
  <c r="E49" i="39"/>
  <c r="E26" i="39"/>
  <c r="E27" i="39"/>
  <c r="E56" i="39"/>
  <c r="E33" i="39"/>
  <c r="E10" i="39"/>
  <c r="E40" i="36"/>
  <c r="E41" i="39"/>
  <c r="E18" i="39"/>
  <c r="E24" i="39"/>
  <c r="E50" i="39"/>
  <c r="E51" i="39"/>
  <c r="E45" i="39"/>
  <c r="E22" i="39"/>
  <c r="E52" i="36"/>
  <c r="E17" i="36"/>
  <c r="E53" i="39"/>
  <c r="E15" i="39"/>
  <c r="E23" i="36"/>
  <c r="E42" i="39"/>
  <c r="E48" i="39"/>
  <c r="E30" i="39"/>
  <c r="E60" i="39"/>
  <c r="E57" i="39"/>
  <c r="E34" i="39"/>
  <c r="E29" i="36"/>
  <c r="E13" i="39"/>
  <c r="E39" i="39"/>
  <c r="E45" i="36"/>
  <c r="E8" i="36"/>
  <c r="E13" i="36"/>
  <c r="E46" i="39"/>
  <c r="E11" i="39"/>
  <c r="E41" i="36"/>
  <c r="E37" i="39"/>
  <c r="E30" i="36"/>
  <c r="E11" i="36"/>
  <c r="E42" i="36"/>
  <c r="E54" i="39"/>
  <c r="E25" i="36"/>
  <c r="E58" i="39"/>
  <c r="E23" i="39"/>
  <c r="E53" i="36"/>
  <c r="E61" i="39"/>
  <c r="E47" i="36"/>
  <c r="E33" i="36"/>
  <c r="E12" i="36"/>
  <c r="E18" i="36"/>
  <c r="E52" i="39"/>
  <c r="E59" i="36"/>
  <c r="C19" i="39"/>
  <c r="C31" i="39"/>
  <c r="C43" i="39"/>
  <c r="C55" i="39"/>
  <c r="C8" i="39"/>
  <c r="C20" i="39"/>
  <c r="C32" i="39"/>
  <c r="C44" i="39"/>
  <c r="C56" i="39"/>
  <c r="C9" i="39"/>
  <c r="C21" i="39"/>
  <c r="C33" i="39"/>
  <c r="C45" i="39"/>
  <c r="C57" i="39"/>
  <c r="C10" i="39"/>
  <c r="C22" i="39"/>
  <c r="C34" i="39"/>
  <c r="C46" i="39"/>
  <c r="C58" i="39"/>
  <c r="C11" i="39"/>
  <c r="C23" i="39"/>
  <c r="C35" i="39"/>
  <c r="C47" i="39"/>
  <c r="C59" i="39"/>
  <c r="C17" i="36"/>
  <c r="C29" i="36"/>
  <c r="C41" i="36"/>
  <c r="C53" i="36"/>
  <c r="C17" i="39"/>
  <c r="C39" i="39"/>
  <c r="C61" i="39"/>
  <c r="C20" i="36"/>
  <c r="C33" i="36"/>
  <c r="C46" i="36"/>
  <c r="C59" i="36"/>
  <c r="C24" i="39"/>
  <c r="C41" i="39"/>
  <c r="C35" i="36"/>
  <c r="C61" i="36"/>
  <c r="C18" i="39"/>
  <c r="C40" i="39"/>
  <c r="C8" i="36"/>
  <c r="C21" i="36"/>
  <c r="C34" i="36"/>
  <c r="C47" i="36"/>
  <c r="C60" i="36"/>
  <c r="C9" i="36"/>
  <c r="C22" i="36"/>
  <c r="C48" i="36"/>
  <c r="C25" i="39"/>
  <c r="C42" i="39"/>
  <c r="C7" i="39"/>
  <c r="C10" i="36"/>
  <c r="C23" i="36"/>
  <c r="C36" i="36"/>
  <c r="C49" i="36"/>
  <c r="C51" i="36"/>
  <c r="C26" i="39"/>
  <c r="C48" i="39"/>
  <c r="C11" i="36"/>
  <c r="C24" i="36"/>
  <c r="C37" i="36"/>
  <c r="C50" i="36"/>
  <c r="C27" i="39"/>
  <c r="C49" i="39"/>
  <c r="C12" i="36"/>
  <c r="C25" i="36"/>
  <c r="C38" i="36"/>
  <c r="C28" i="39"/>
  <c r="C50" i="39"/>
  <c r="C13" i="36"/>
  <c r="C26" i="36"/>
  <c r="C39" i="36"/>
  <c r="C52" i="36"/>
  <c r="C12" i="39"/>
  <c r="C29" i="39"/>
  <c r="C51" i="39"/>
  <c r="C14" i="36"/>
  <c r="C27" i="36"/>
  <c r="C40" i="36"/>
  <c r="C54" i="36"/>
  <c r="C13" i="39"/>
  <c r="C30" i="39"/>
  <c r="C52" i="39"/>
  <c r="C14" i="39"/>
  <c r="C42" i="36"/>
  <c r="C58" i="36"/>
  <c r="C15" i="39"/>
  <c r="C43" i="36"/>
  <c r="C53" i="39"/>
  <c r="C18" i="36"/>
  <c r="C54" i="39"/>
  <c r="C19" i="36"/>
  <c r="C60" i="39"/>
  <c r="C16" i="39"/>
  <c r="C44" i="36"/>
  <c r="C56" i="36"/>
  <c r="C30" i="36"/>
  <c r="C31" i="36"/>
  <c r="C36" i="39"/>
  <c r="C45" i="36"/>
  <c r="C55" i="36"/>
  <c r="C28" i="36"/>
  <c r="C32" i="36"/>
  <c r="C37" i="39"/>
  <c r="C15" i="36"/>
  <c r="C38" i="39"/>
  <c r="C16" i="36"/>
  <c r="C57" i="36"/>
  <c r="D13" i="39"/>
  <c r="D25" i="39"/>
  <c r="D37" i="39"/>
  <c r="D49" i="39"/>
  <c r="D61" i="39"/>
  <c r="D19" i="36"/>
  <c r="D31" i="36"/>
  <c r="D14" i="39"/>
  <c r="D26" i="39"/>
  <c r="D38" i="39"/>
  <c r="D50" i="39"/>
  <c r="D8" i="36"/>
  <c r="D20" i="36"/>
  <c r="D32" i="36"/>
  <c r="D44" i="36"/>
  <c r="D15" i="39"/>
  <c r="D27" i="39"/>
  <c r="D39" i="39"/>
  <c r="D51" i="39"/>
  <c r="D9" i="36"/>
  <c r="D21" i="36"/>
  <c r="D16" i="39"/>
  <c r="D28" i="39"/>
  <c r="D40" i="39"/>
  <c r="D52" i="39"/>
  <c r="D10" i="36"/>
  <c r="D22" i="36"/>
  <c r="D34" i="36"/>
  <c r="D46" i="36"/>
  <c r="D17" i="39"/>
  <c r="D29" i="39"/>
  <c r="D41" i="39"/>
  <c r="D53" i="39"/>
  <c r="D11" i="36"/>
  <c r="D23" i="36"/>
  <c r="D35" i="36"/>
  <c r="D47" i="36"/>
  <c r="D59" i="36"/>
  <c r="D11" i="39"/>
  <c r="D23" i="39"/>
  <c r="D35" i="39"/>
  <c r="D31" i="39"/>
  <c r="D54" i="39"/>
  <c r="D12" i="36"/>
  <c r="D29" i="36"/>
  <c r="D48" i="36"/>
  <c r="D61" i="36"/>
  <c r="D9" i="39"/>
  <c r="D33" i="39"/>
  <c r="D56" i="39"/>
  <c r="D7" i="39"/>
  <c r="D14" i="36"/>
  <c r="D50" i="36"/>
  <c r="D8" i="39"/>
  <c r="D32" i="39"/>
  <c r="D55" i="39"/>
  <c r="D13" i="36"/>
  <c r="D30" i="36"/>
  <c r="D49" i="36"/>
  <c r="D33" i="36"/>
  <c r="D10" i="39"/>
  <c r="D34" i="39"/>
  <c r="D57" i="39"/>
  <c r="D15" i="36"/>
  <c r="D36" i="36"/>
  <c r="D51" i="36"/>
  <c r="D12" i="39"/>
  <c r="D36" i="39"/>
  <c r="D58" i="39"/>
  <c r="D16" i="36"/>
  <c r="D37" i="36"/>
  <c r="D52" i="36"/>
  <c r="D7" i="36"/>
  <c r="D18" i="39"/>
  <c r="D42" i="39"/>
  <c r="D59" i="39"/>
  <c r="D17" i="36"/>
  <c r="D38" i="36"/>
  <c r="D53" i="36"/>
  <c r="D19" i="39"/>
  <c r="D43" i="39"/>
  <c r="D60" i="39"/>
  <c r="D18" i="36"/>
  <c r="D39" i="36"/>
  <c r="D54" i="36"/>
  <c r="D20" i="39"/>
  <c r="D44" i="39"/>
  <c r="D24" i="36"/>
  <c r="D40" i="36"/>
  <c r="D55" i="36"/>
  <c r="D21" i="39"/>
  <c r="D45" i="39"/>
  <c r="D25" i="36"/>
  <c r="D41" i="36"/>
  <c r="D56" i="36"/>
  <c r="D30" i="39"/>
  <c r="D47" i="39"/>
  <c r="D57" i="36"/>
  <c r="D28" i="36"/>
  <c r="D58" i="36"/>
  <c r="D60" i="36"/>
  <c r="D22" i="39"/>
  <c r="D26" i="36"/>
  <c r="D24" i="39"/>
  <c r="D27" i="36"/>
  <c r="D46" i="39"/>
  <c r="D42" i="36"/>
  <c r="D43" i="36"/>
  <c r="D45" i="36"/>
  <c r="D48" i="39"/>
  <c r="F41" i="8"/>
  <c r="F112" i="8"/>
  <c r="F20" i="8"/>
  <c r="F40" i="8"/>
  <c r="F39" i="8"/>
  <c r="F37" i="8"/>
  <c r="G37" i="8"/>
  <c r="G39" i="8"/>
  <c r="E40" i="8"/>
  <c r="E122" i="8"/>
  <c r="G112" i="8"/>
  <c r="E115" i="8"/>
  <c r="E121" i="8"/>
  <c r="E42" i="8"/>
  <c r="G20" i="8"/>
  <c r="F38" i="8"/>
  <c r="E61" i="27"/>
  <c r="E61" i="24"/>
  <c r="E61" i="33" a="1"/>
  <c r="E61" i="33" s="1"/>
  <c r="C61" i="33" a="1"/>
  <c r="C61" i="33" s="1"/>
  <c r="C61" i="27"/>
  <c r="C61" i="24"/>
  <c r="E7" i="55"/>
  <c r="E61" i="55"/>
  <c r="E61" i="30"/>
  <c r="D61" i="55"/>
  <c r="D61" i="30"/>
  <c r="D61" i="33" a="1"/>
  <c r="D61" i="33" s="1"/>
  <c r="D61" i="24"/>
  <c r="D61" i="27"/>
  <c r="C61" i="55"/>
  <c r="C61" i="30"/>
  <c r="E44" i="33" a="1"/>
  <c r="E44" i="33" s="1"/>
  <c r="E16" i="33" a="1"/>
  <c r="E16" i="33" s="1"/>
  <c r="E31" i="33" a="1"/>
  <c r="E31" i="33" s="1"/>
  <c r="E28" i="33" a="1"/>
  <c r="E28" i="33" s="1"/>
  <c r="E25" i="33" a="1"/>
  <c r="E25" i="33" s="1"/>
  <c r="E41" i="33" a="1"/>
  <c r="E41" i="33" s="1"/>
  <c r="E50" i="33" a="1"/>
  <c r="E50" i="33" s="1"/>
  <c r="E23" i="33" a="1"/>
  <c r="E23" i="33" s="1"/>
  <c r="E39" i="33" a="1"/>
  <c r="E39" i="33" s="1"/>
  <c r="E36" i="33" a="1"/>
  <c r="E36" i="33" s="1"/>
  <c r="E27" i="33" a="1"/>
  <c r="E27" i="33" s="1"/>
  <c r="E18" i="33" a="1"/>
  <c r="E18" i="33" s="1"/>
  <c r="E21" i="33" a="1"/>
  <c r="E21" i="33" s="1"/>
  <c r="E10" i="33" a="1"/>
  <c r="E10" i="33" s="1"/>
  <c r="E32" i="33" a="1"/>
  <c r="E32" i="33" s="1"/>
  <c r="E55" i="33" a="1"/>
  <c r="E55" i="33" s="1"/>
  <c r="E43" i="33" a="1"/>
  <c r="E43" i="33" s="1"/>
  <c r="E24" i="33" a="1"/>
  <c r="E24" i="33" s="1"/>
  <c r="E51" i="33" a="1"/>
  <c r="E51" i="33" s="1"/>
  <c r="E56" i="33" a="1"/>
  <c r="E56" i="33" s="1"/>
  <c r="E30" i="33" a="1"/>
  <c r="E30" i="33" s="1"/>
  <c r="E46" i="33" a="1"/>
  <c r="E46" i="33" s="1"/>
  <c r="E54" i="33" a="1"/>
  <c r="E54" i="33" s="1"/>
  <c r="E48" i="33" a="1"/>
  <c r="E48" i="33" s="1"/>
  <c r="E40" i="33" a="1"/>
  <c r="E40" i="33" s="1"/>
  <c r="E33" i="33" a="1"/>
  <c r="E33" i="33" s="1"/>
  <c r="E8" i="33" a="1"/>
  <c r="E8" i="33" s="1"/>
  <c r="E59" i="33" a="1"/>
  <c r="E59" i="33" s="1"/>
  <c r="E26" i="33" a="1"/>
  <c r="E26" i="33" s="1"/>
  <c r="E47" i="33" a="1"/>
  <c r="E47" i="33" s="1"/>
  <c r="E11" i="33" a="1"/>
  <c r="E11" i="33" s="1"/>
  <c r="E9" i="33" a="1"/>
  <c r="E9" i="33" s="1"/>
  <c r="E37" i="33" a="1"/>
  <c r="E37" i="33" s="1"/>
  <c r="E53" i="33" a="1"/>
  <c r="E53" i="33" s="1"/>
  <c r="E58" i="33" a="1"/>
  <c r="E58" i="33" s="1"/>
  <c r="E49" i="33" a="1"/>
  <c r="E49" i="33" s="1"/>
  <c r="E22" i="33" a="1"/>
  <c r="E22" i="33" s="1"/>
  <c r="E57" i="33" a="1"/>
  <c r="E57" i="33" s="1"/>
  <c r="E45" i="33" a="1"/>
  <c r="E45" i="33" s="1"/>
  <c r="E60" i="33" a="1"/>
  <c r="E60" i="33" s="1"/>
  <c r="E35" i="33" a="1"/>
  <c r="E35" i="33" s="1"/>
  <c r="E52" i="33" a="1"/>
  <c r="E52" i="33" s="1"/>
  <c r="E15" i="33" a="1"/>
  <c r="E15" i="33" s="1"/>
  <c r="E12" i="33" a="1"/>
  <c r="E12" i="33" s="1"/>
  <c r="E7" i="33" a="1"/>
  <c r="E7" i="33" s="1"/>
  <c r="E14" i="33" a="1"/>
  <c r="E14" i="33" s="1"/>
  <c r="E20" i="33" a="1"/>
  <c r="E20" i="33" s="1"/>
  <c r="E29" i="33" a="1"/>
  <c r="E29" i="33" s="1"/>
  <c r="E42" i="33" a="1"/>
  <c r="E42" i="33" s="1"/>
  <c r="E17" i="33" a="1"/>
  <c r="E17" i="33" s="1"/>
  <c r="E34" i="33" a="1"/>
  <c r="E34" i="33" s="1"/>
  <c r="E38" i="33" a="1"/>
  <c r="E38" i="33" s="1"/>
  <c r="E19" i="33" a="1"/>
  <c r="E19" i="33" s="1"/>
  <c r="E13" i="33" a="1"/>
  <c r="E13" i="33" s="1"/>
  <c r="G14" i="8"/>
  <c r="C9" i="33" a="1"/>
  <c r="C9" i="33" s="1"/>
  <c r="C15" i="33" a="1"/>
  <c r="C15" i="33" s="1"/>
  <c r="C21" i="33" a="1"/>
  <c r="C21" i="33" s="1"/>
  <c r="C27" i="33" a="1"/>
  <c r="C27" i="33" s="1"/>
  <c r="C33" i="33" a="1"/>
  <c r="C33" i="33" s="1"/>
  <c r="C39" i="33" a="1"/>
  <c r="C39" i="33" s="1"/>
  <c r="C45" i="33" a="1"/>
  <c r="C45" i="33" s="1"/>
  <c r="C51" i="33" a="1"/>
  <c r="C51" i="33" s="1"/>
  <c r="C58" i="33" a="1"/>
  <c r="C58" i="33" s="1"/>
  <c r="C10" i="33" a="1"/>
  <c r="C10" i="33" s="1"/>
  <c r="C17" i="33" a="1"/>
  <c r="C17" i="33" s="1"/>
  <c r="C24" i="33" a="1"/>
  <c r="C24" i="33" s="1"/>
  <c r="C31" i="33" a="1"/>
  <c r="C31" i="33" s="1"/>
  <c r="C38" i="33" a="1"/>
  <c r="C38" i="33" s="1"/>
  <c r="C46" i="33" a="1"/>
  <c r="C46" i="33" s="1"/>
  <c r="C53" i="33" a="1"/>
  <c r="C53" i="33" s="1"/>
  <c r="C11" i="33" a="1"/>
  <c r="C11" i="33" s="1"/>
  <c r="C18" i="33" a="1"/>
  <c r="C18" i="33" s="1"/>
  <c r="C25" i="33" a="1"/>
  <c r="C25" i="33" s="1"/>
  <c r="C32" i="33" a="1"/>
  <c r="C32" i="33" s="1"/>
  <c r="C40" i="33" a="1"/>
  <c r="C40" i="33" s="1"/>
  <c r="C47" i="33" a="1"/>
  <c r="C47" i="33" s="1"/>
  <c r="C54" i="33" a="1"/>
  <c r="C54" i="33" s="1"/>
  <c r="C16" i="33" a="1"/>
  <c r="C16" i="33" s="1"/>
  <c r="C34" i="33" a="1"/>
  <c r="C34" i="33" s="1"/>
  <c r="C42" i="33" a="1"/>
  <c r="C42" i="33" s="1"/>
  <c r="C50" i="33" a="1"/>
  <c r="C50" i="33" s="1"/>
  <c r="C8" i="33" a="1"/>
  <c r="C8" i="33" s="1"/>
  <c r="C26" i="33" a="1"/>
  <c r="C26" i="33" s="1"/>
  <c r="C35" i="33" a="1"/>
  <c r="C35" i="33" s="1"/>
  <c r="C43" i="33" a="1"/>
  <c r="C43" i="33" s="1"/>
  <c r="C52" i="33" a="1"/>
  <c r="C52" i="33" s="1"/>
  <c r="C7" i="33" a="1"/>
  <c r="C7" i="33" s="1"/>
  <c r="C13" i="33" a="1"/>
  <c r="C13" i="33" s="1"/>
  <c r="C23" i="33" a="1"/>
  <c r="C23" i="33" s="1"/>
  <c r="C44" i="33" a="1"/>
  <c r="C44" i="33" s="1"/>
  <c r="C55" i="33" a="1"/>
  <c r="C55" i="33" s="1"/>
  <c r="C56" i="33" a="1"/>
  <c r="C56" i="33" s="1"/>
  <c r="C14" i="33" a="1"/>
  <c r="C14" i="33" s="1"/>
  <c r="C36" i="33" a="1"/>
  <c r="C36" i="33" s="1"/>
  <c r="C57" i="33" a="1"/>
  <c r="C57" i="33" s="1"/>
  <c r="C20" i="33" a="1"/>
  <c r="C20" i="33" s="1"/>
  <c r="C37" i="33" a="1"/>
  <c r="C37" i="33" s="1"/>
  <c r="C12" i="33" a="1"/>
  <c r="C12" i="33" s="1"/>
  <c r="C29" i="33" a="1"/>
  <c r="C29" i="33" s="1"/>
  <c r="C60" i="33" a="1"/>
  <c r="C60" i="33" s="1"/>
  <c r="C22" i="33" a="1"/>
  <c r="C22" i="33" s="1"/>
  <c r="C59" i="33" a="1"/>
  <c r="C59" i="33" s="1"/>
  <c r="C28" i="33" a="1"/>
  <c r="C28" i="33" s="1"/>
  <c r="C41" i="33" a="1"/>
  <c r="C41" i="33" s="1"/>
  <c r="C30" i="33" a="1"/>
  <c r="C30" i="33" s="1"/>
  <c r="C19" i="33" a="1"/>
  <c r="C19" i="33" s="1"/>
  <c r="C49" i="33" a="1"/>
  <c r="C49" i="33" s="1"/>
  <c r="C48" i="33" a="1"/>
  <c r="C48" i="33" s="1"/>
  <c r="D9" i="33" a="1"/>
  <c r="D9" i="33" s="1"/>
  <c r="D15" i="33" a="1"/>
  <c r="D15" i="33" s="1"/>
  <c r="D21" i="33" a="1"/>
  <c r="D21" i="33" s="1"/>
  <c r="D27" i="33" a="1"/>
  <c r="D27" i="33" s="1"/>
  <c r="D33" i="33" a="1"/>
  <c r="D33" i="33" s="1"/>
  <c r="D39" i="33" a="1"/>
  <c r="D39" i="33" s="1"/>
  <c r="D45" i="33" a="1"/>
  <c r="D45" i="33" s="1"/>
  <c r="D51" i="33" a="1"/>
  <c r="D51" i="33" s="1"/>
  <c r="D57" i="33" a="1"/>
  <c r="D57" i="33" s="1"/>
  <c r="D35" i="33" a="1"/>
  <c r="D35" i="33" s="1"/>
  <c r="D28" i="33" a="1"/>
  <c r="D28" i="33" s="1"/>
  <c r="D36" i="33" a="1"/>
  <c r="D36" i="33" s="1"/>
  <c r="D56" i="33" a="1"/>
  <c r="D56" i="33" s="1"/>
  <c r="D16" i="33" a="1"/>
  <c r="D16" i="33" s="1"/>
  <c r="D25" i="33" a="1"/>
  <c r="D25" i="33" s="1"/>
  <c r="D37" i="33" a="1"/>
  <c r="D37" i="33" s="1"/>
  <c r="D47" i="33" a="1"/>
  <c r="D47" i="33" s="1"/>
  <c r="D58" i="33" a="1"/>
  <c r="D58" i="33" s="1"/>
  <c r="D26" i="33" a="1"/>
  <c r="D26" i="33" s="1"/>
  <c r="D17" i="33" a="1"/>
  <c r="D17" i="33" s="1"/>
  <c r="D29" i="33" a="1"/>
  <c r="D29" i="33" s="1"/>
  <c r="D38" i="33" a="1"/>
  <c r="D38" i="33" s="1"/>
  <c r="D48" i="33" a="1"/>
  <c r="D48" i="33" s="1"/>
  <c r="D59" i="33" a="1"/>
  <c r="D59" i="33" s="1"/>
  <c r="D42" i="33" a="1"/>
  <c r="D42" i="33" s="1"/>
  <c r="D12" i="33" a="1"/>
  <c r="D12" i="33" s="1"/>
  <c r="D30" i="33" a="1"/>
  <c r="D30" i="33" s="1"/>
  <c r="D43" i="33" a="1"/>
  <c r="D43" i="33" s="1"/>
  <c r="D60" i="33" a="1"/>
  <c r="D60" i="33" s="1"/>
  <c r="D13" i="33" a="1"/>
  <c r="D13" i="33" s="1"/>
  <c r="D44" i="33" a="1"/>
  <c r="D44" i="33" s="1"/>
  <c r="D7" i="33" a="1"/>
  <c r="D7" i="33" s="1"/>
  <c r="D50" i="33" a="1"/>
  <c r="D50" i="33" s="1"/>
  <c r="D14" i="33" a="1"/>
  <c r="D14" i="33" s="1"/>
  <c r="D31" i="33" a="1"/>
  <c r="D31" i="33" s="1"/>
  <c r="D46" i="33" a="1"/>
  <c r="D46" i="33" s="1"/>
  <c r="D32" i="33" a="1"/>
  <c r="D32" i="33" s="1"/>
  <c r="D20" i="33" a="1"/>
  <c r="D20" i="33" s="1"/>
  <c r="D18" i="33" a="1"/>
  <c r="D18" i="33" s="1"/>
  <c r="D49" i="33" a="1"/>
  <c r="D49" i="33" s="1"/>
  <c r="D19" i="33" a="1"/>
  <c r="D19" i="33" s="1"/>
  <c r="D8" i="33" a="1"/>
  <c r="D8" i="33" s="1"/>
  <c r="D41" i="33" a="1"/>
  <c r="D41" i="33" s="1"/>
  <c r="D23" i="33" a="1"/>
  <c r="D23" i="33" s="1"/>
  <c r="D24" i="33" a="1"/>
  <c r="D24" i="33" s="1"/>
  <c r="D34" i="33" a="1"/>
  <c r="D34" i="33" s="1"/>
  <c r="D40" i="33" a="1"/>
  <c r="D40" i="33" s="1"/>
  <c r="D10" i="33" a="1"/>
  <c r="D10" i="33" s="1"/>
  <c r="D52" i="33" a="1"/>
  <c r="D52" i="33" s="1"/>
  <c r="D55" i="33" a="1"/>
  <c r="D55" i="33" s="1"/>
  <c r="D11" i="33" a="1"/>
  <c r="D11" i="33" s="1"/>
  <c r="D53" i="33" a="1"/>
  <c r="D53" i="33" s="1"/>
  <c r="D22" i="33" a="1"/>
  <c r="D22" i="33" s="1"/>
  <c r="D54" i="33" a="1"/>
  <c r="D54" i="33" s="1"/>
  <c r="E86" i="8"/>
  <c r="F86" i="8"/>
  <c r="G86" i="8"/>
  <c r="F62" i="8"/>
  <c r="G62" i="8"/>
  <c r="E114" i="8"/>
  <c r="G113" i="8"/>
  <c r="G124" i="8"/>
  <c r="G7" i="8"/>
  <c r="E113" i="8"/>
  <c r="E124" i="8"/>
  <c r="E7" i="8"/>
  <c r="F7" i="8"/>
  <c r="G115" i="8"/>
  <c r="G114" i="8"/>
  <c r="E64" i="8"/>
  <c r="G64" i="8"/>
  <c r="E65" i="8"/>
  <c r="E62" i="8"/>
  <c r="G65" i="8"/>
  <c r="E63" i="8"/>
  <c r="D60" i="30"/>
  <c r="F63" i="8"/>
  <c r="F64" i="8"/>
  <c r="G63" i="8"/>
  <c r="C60" i="55"/>
  <c r="G60" i="8"/>
  <c r="C60" i="30"/>
  <c r="E60" i="24"/>
  <c r="D60" i="24"/>
  <c r="E60" i="27"/>
  <c r="G22" i="8"/>
  <c r="F65" i="8"/>
  <c r="E60" i="55"/>
  <c r="E60" i="30"/>
  <c r="C60" i="27"/>
  <c r="C60" i="24"/>
  <c r="F22" i="8"/>
  <c r="D60" i="55"/>
  <c r="D60" i="27"/>
  <c r="E14" i="8"/>
  <c r="E58" i="30"/>
  <c r="E30" i="30"/>
  <c r="E9" i="30"/>
  <c r="E44" i="30"/>
  <c r="D13" i="30"/>
  <c r="E22" i="30"/>
  <c r="E35" i="30"/>
  <c r="E53" i="30"/>
  <c r="C24" i="30"/>
  <c r="E38" i="30"/>
  <c r="E39" i="30"/>
  <c r="E31" i="30"/>
  <c r="E26" i="30"/>
  <c r="E14" i="30"/>
  <c r="E15" i="30"/>
  <c r="E46" i="30"/>
  <c r="E36" i="30"/>
  <c r="C13" i="30"/>
  <c r="C37" i="30"/>
  <c r="D47" i="30"/>
  <c r="D15" i="30"/>
  <c r="E10" i="30"/>
  <c r="E34" i="30"/>
  <c r="E20" i="30"/>
  <c r="E55" i="30"/>
  <c r="D53" i="30"/>
  <c r="C35" i="30"/>
  <c r="C22" i="30"/>
  <c r="C58" i="30"/>
  <c r="C31" i="30"/>
  <c r="D41" i="30"/>
  <c r="D18" i="30"/>
  <c r="D29" i="30"/>
  <c r="D52" i="30"/>
  <c r="E52" i="30"/>
  <c r="E28" i="30"/>
  <c r="E33" i="30"/>
  <c r="E29" i="30"/>
  <c r="C52" i="30"/>
  <c r="C51" i="30"/>
  <c r="C57" i="30"/>
  <c r="C15" i="30"/>
  <c r="C28" i="30"/>
  <c r="D22" i="30"/>
  <c r="D57" i="30"/>
  <c r="D37" i="30"/>
  <c r="D26" i="30"/>
  <c r="C59" i="30"/>
  <c r="D43" i="30"/>
  <c r="E59" i="30"/>
  <c r="E12" i="30"/>
  <c r="E24" i="30"/>
  <c r="E8" i="30"/>
  <c r="E43" i="30"/>
  <c r="C27" i="30"/>
  <c r="C8" i="30"/>
  <c r="C54" i="30"/>
  <c r="C43" i="30"/>
  <c r="C19" i="30"/>
  <c r="D12" i="30"/>
  <c r="D38" i="30"/>
  <c r="C41" i="30"/>
  <c r="C46" i="30"/>
  <c r="C26" i="30"/>
  <c r="C33" i="30"/>
  <c r="C9" i="30"/>
  <c r="D9" i="30"/>
  <c r="D31" i="30"/>
  <c r="D35" i="30"/>
  <c r="E19" i="30"/>
  <c r="E54" i="30"/>
  <c r="E50" i="30"/>
  <c r="E21" i="30"/>
  <c r="E17" i="30"/>
  <c r="C48" i="30"/>
  <c r="C30" i="30"/>
  <c r="C42" i="30"/>
  <c r="C44" i="30"/>
  <c r="D23" i="30"/>
  <c r="D55" i="30"/>
  <c r="D51" i="30"/>
  <c r="C17" i="30"/>
  <c r="D17" i="30"/>
  <c r="D27" i="30"/>
  <c r="D42" i="30"/>
  <c r="E13" i="30"/>
  <c r="E40" i="30"/>
  <c r="E16" i="30"/>
  <c r="E41" i="30"/>
  <c r="D21" i="30"/>
  <c r="C7" i="30"/>
  <c r="C34" i="30"/>
  <c r="C39" i="30"/>
  <c r="C32" i="30"/>
  <c r="D25" i="30"/>
  <c r="D45" i="30"/>
  <c r="D8" i="30"/>
  <c r="C49" i="30"/>
  <c r="C47" i="30"/>
  <c r="D34" i="30"/>
  <c r="E45" i="30"/>
  <c r="E18" i="30"/>
  <c r="E32" i="30"/>
  <c r="E49" i="30"/>
  <c r="D32" i="30"/>
  <c r="C56" i="30"/>
  <c r="C11" i="30"/>
  <c r="C53" i="30"/>
  <c r="C16" i="30"/>
  <c r="D54" i="30"/>
  <c r="D58" i="30"/>
  <c r="D50" i="30"/>
  <c r="C25" i="30"/>
  <c r="D30" i="30"/>
  <c r="D19" i="30"/>
  <c r="E23" i="30"/>
  <c r="E47" i="30"/>
  <c r="E57" i="30"/>
  <c r="E37" i="30"/>
  <c r="D49" i="30"/>
  <c r="C36" i="30"/>
  <c r="C50" i="30"/>
  <c r="C10" i="30"/>
  <c r="C29" i="30"/>
  <c r="D24" i="30"/>
  <c r="D39" i="30"/>
  <c r="D40" i="30"/>
  <c r="C23" i="30"/>
  <c r="D48" i="30"/>
  <c r="D14" i="30"/>
  <c r="D44" i="30"/>
  <c r="E42" i="30"/>
  <c r="E48" i="30"/>
  <c r="E11" i="30"/>
  <c r="E27" i="30"/>
  <c r="D56" i="30"/>
  <c r="C12" i="30"/>
  <c r="C40" i="30"/>
  <c r="C45" i="30"/>
  <c r="C14" i="30"/>
  <c r="D20" i="30"/>
  <c r="D11" i="30"/>
  <c r="D28" i="30"/>
  <c r="D7" i="30"/>
  <c r="C38" i="30"/>
  <c r="D10" i="30"/>
  <c r="D16" i="30"/>
  <c r="D46" i="30"/>
  <c r="E25" i="30"/>
  <c r="E56" i="30"/>
  <c r="E51" i="30"/>
  <c r="E7" i="30"/>
  <c r="D36" i="30"/>
  <c r="C20" i="30"/>
  <c r="C18" i="30"/>
  <c r="C55" i="30"/>
  <c r="C21" i="30"/>
  <c r="D59" i="30"/>
  <c r="D33" i="30"/>
  <c r="E23" i="55"/>
  <c r="E56" i="55"/>
  <c r="E29" i="55"/>
  <c r="E45" i="55"/>
  <c r="E24" i="55"/>
  <c r="E49" i="55"/>
  <c r="D42" i="55"/>
  <c r="E31" i="55"/>
  <c r="E54" i="55"/>
  <c r="E38" i="55"/>
  <c r="E26" i="55"/>
  <c r="C26" i="55"/>
  <c r="E41" i="55"/>
  <c r="E12" i="55"/>
  <c r="E27" i="55"/>
  <c r="E47" i="55"/>
  <c r="E34" i="55"/>
  <c r="E21" i="55"/>
  <c r="E20" i="55"/>
  <c r="E30" i="55"/>
  <c r="E16" i="55"/>
  <c r="E13" i="55"/>
  <c r="E36" i="55"/>
  <c r="E11" i="55"/>
  <c r="E43" i="55"/>
  <c r="E53" i="55"/>
  <c r="E55" i="55"/>
  <c r="E44" i="55"/>
  <c r="E10" i="55"/>
  <c r="E35" i="55"/>
  <c r="D51" i="55"/>
  <c r="C34" i="55"/>
  <c r="C24" i="55"/>
  <c r="C54" i="55"/>
  <c r="C51" i="55"/>
  <c r="D20" i="55"/>
  <c r="D37" i="55"/>
  <c r="C57" i="55"/>
  <c r="D19" i="55"/>
  <c r="D30" i="55"/>
  <c r="C27" i="55"/>
  <c r="C32" i="55"/>
  <c r="D7" i="55"/>
  <c r="D29" i="55"/>
  <c r="C16" i="55"/>
  <c r="C59" i="55"/>
  <c r="D28" i="55"/>
  <c r="C45" i="55"/>
  <c r="C9" i="55"/>
  <c r="C52" i="55"/>
  <c r="D14" i="55"/>
  <c r="C21" i="55"/>
  <c r="C55" i="55"/>
  <c r="C30" i="55"/>
  <c r="D48" i="55"/>
  <c r="D58" i="55"/>
  <c r="C56" i="55"/>
  <c r="C47" i="55"/>
  <c r="C23" i="55"/>
  <c r="C25" i="55"/>
  <c r="E58" i="55"/>
  <c r="E19" i="55"/>
  <c r="E33" i="55"/>
  <c r="D22" i="55"/>
  <c r="D16" i="55"/>
  <c r="D34" i="55"/>
  <c r="C35" i="55"/>
  <c r="C36" i="55"/>
  <c r="C31" i="55"/>
  <c r="C19" i="55"/>
  <c r="C12" i="55"/>
  <c r="E32" i="55"/>
  <c r="E48" i="55"/>
  <c r="D40" i="55"/>
  <c r="D50" i="55"/>
  <c r="D45" i="55"/>
  <c r="D38" i="55"/>
  <c r="C29" i="55"/>
  <c r="C50" i="55"/>
  <c r="C14" i="55"/>
  <c r="C49" i="55"/>
  <c r="C41" i="55"/>
  <c r="E15" i="55"/>
  <c r="E39" i="55"/>
  <c r="E57" i="55"/>
  <c r="E37" i="55"/>
  <c r="D57" i="55"/>
  <c r="D49" i="55"/>
  <c r="D23" i="55"/>
  <c r="D35" i="55"/>
  <c r="D10" i="55"/>
  <c r="C39" i="55"/>
  <c r="C44" i="55"/>
  <c r="C22" i="55"/>
  <c r="C17" i="55"/>
  <c r="C46" i="55"/>
  <c r="E22" i="55"/>
  <c r="E40" i="55"/>
  <c r="E25" i="55"/>
  <c r="E18" i="55"/>
  <c r="D24" i="55"/>
  <c r="D47" i="55"/>
  <c r="C10" i="55"/>
  <c r="D26" i="55"/>
  <c r="C40" i="55"/>
  <c r="C11" i="55"/>
  <c r="D59" i="55"/>
  <c r="D15" i="55"/>
  <c r="C33" i="55"/>
  <c r="D53" i="55"/>
  <c r="D56" i="55"/>
  <c r="D27" i="55"/>
  <c r="D9" i="55"/>
  <c r="D33" i="55"/>
  <c r="C48" i="55"/>
  <c r="C18" i="55"/>
  <c r="C53" i="55"/>
  <c r="C58" i="55"/>
  <c r="E52" i="55"/>
  <c r="E17" i="55"/>
  <c r="E14" i="55"/>
  <c r="E42" i="55"/>
  <c r="E9" i="55"/>
  <c r="D18" i="55"/>
  <c r="D12" i="55"/>
  <c r="D39" i="55"/>
  <c r="D13" i="55"/>
  <c r="C7" i="55"/>
  <c r="C20" i="55"/>
  <c r="C8" i="55"/>
  <c r="C28" i="55"/>
  <c r="E46" i="55"/>
  <c r="E51" i="55"/>
  <c r="E50" i="55"/>
  <c r="E59" i="55"/>
  <c r="D21" i="55"/>
  <c r="D32" i="55"/>
  <c r="D54" i="55"/>
  <c r="D8" i="55"/>
  <c r="C38" i="55"/>
  <c r="C13" i="55"/>
  <c r="D43" i="55"/>
  <c r="C15" i="55"/>
  <c r="C42" i="55"/>
  <c r="D41" i="55"/>
  <c r="C37" i="55"/>
  <c r="D25" i="55"/>
  <c r="D17" i="55"/>
  <c r="C43" i="55"/>
  <c r="D11" i="55"/>
  <c r="D55" i="55"/>
  <c r="D52" i="55"/>
  <c r="D31" i="55"/>
  <c r="D36" i="55"/>
  <c r="E8" i="55"/>
  <c r="D46" i="55"/>
  <c r="D44" i="55"/>
  <c r="E28" i="55"/>
  <c r="E41" i="24"/>
  <c r="E52" i="27"/>
  <c r="E24" i="24"/>
  <c r="E37" i="27"/>
  <c r="E50" i="24"/>
  <c r="E18" i="24"/>
  <c r="E52" i="24"/>
  <c r="E55" i="24"/>
  <c r="E17" i="24"/>
  <c r="E12" i="27"/>
  <c r="E15" i="27"/>
  <c r="E54" i="27"/>
  <c r="E14" i="27"/>
  <c r="E17" i="27"/>
  <c r="E8" i="27"/>
  <c r="E51" i="27"/>
  <c r="E53" i="27"/>
  <c r="E19" i="27"/>
  <c r="E55" i="27"/>
  <c r="E10" i="27"/>
  <c r="E16" i="27"/>
  <c r="E23" i="27"/>
  <c r="E41" i="27"/>
  <c r="E35" i="27"/>
  <c r="E20" i="27"/>
  <c r="E44" i="27"/>
  <c r="E28" i="27"/>
  <c r="E34" i="27"/>
  <c r="E46" i="27"/>
  <c r="E45" i="24"/>
  <c r="E21" i="27"/>
  <c r="E48" i="24"/>
  <c r="E50" i="27"/>
  <c r="E9" i="24"/>
  <c r="E25" i="27"/>
  <c r="E24" i="27"/>
  <c r="E25" i="24"/>
  <c r="E26" i="27"/>
  <c r="E49" i="27"/>
  <c r="E59" i="24"/>
  <c r="E36" i="27"/>
  <c r="E57" i="27"/>
  <c r="E31" i="27"/>
  <c r="E51" i="24"/>
  <c r="E30" i="27"/>
  <c r="E43" i="27"/>
  <c r="E12" i="24"/>
  <c r="E18" i="27"/>
  <c r="E22" i="24"/>
  <c r="D58" i="27"/>
  <c r="D15" i="27"/>
  <c r="D23" i="27"/>
  <c r="D58" i="24"/>
  <c r="D20" i="27"/>
  <c r="E8" i="24"/>
  <c r="E26" i="24"/>
  <c r="E9" i="27"/>
  <c r="E13" i="27"/>
  <c r="E59" i="27"/>
  <c r="E47" i="27"/>
  <c r="E11" i="24"/>
  <c r="E20" i="24"/>
  <c r="E56" i="27"/>
  <c r="E58" i="27"/>
  <c r="E39" i="24"/>
  <c r="E23" i="24"/>
  <c r="E33" i="27"/>
  <c r="E7" i="27"/>
  <c r="E40" i="27"/>
  <c r="D18" i="24"/>
  <c r="D50" i="27"/>
  <c r="D12" i="27"/>
  <c r="D11" i="27"/>
  <c r="D46" i="27"/>
  <c r="D10" i="24"/>
  <c r="D26" i="27"/>
  <c r="D10" i="27"/>
  <c r="D18" i="27"/>
  <c r="D22" i="27"/>
  <c r="D52" i="27"/>
  <c r="D43" i="27"/>
  <c r="D45" i="27"/>
  <c r="D30" i="27"/>
  <c r="D48" i="27"/>
  <c r="D42" i="27"/>
  <c r="D55" i="27"/>
  <c r="D41" i="27"/>
  <c r="D30" i="24"/>
  <c r="D54" i="27"/>
  <c r="D34" i="27"/>
  <c r="D7" i="27"/>
  <c r="D27" i="27"/>
  <c r="D24" i="27"/>
  <c r="D48" i="24"/>
  <c r="D51" i="27"/>
  <c r="D35" i="27"/>
  <c r="D17" i="27"/>
  <c r="D13" i="27"/>
  <c r="D9" i="27"/>
  <c r="D16" i="27"/>
  <c r="D33" i="27"/>
  <c r="D38" i="27"/>
  <c r="D49" i="27"/>
  <c r="D53" i="27"/>
  <c r="D29" i="27"/>
  <c r="D59" i="27"/>
  <c r="D37" i="27"/>
  <c r="D21" i="27"/>
  <c r="D32" i="27"/>
  <c r="D57" i="27"/>
  <c r="D31" i="27"/>
  <c r="D25" i="27"/>
  <c r="D56" i="27"/>
  <c r="D8" i="27"/>
  <c r="D14" i="27"/>
  <c r="D47" i="27"/>
  <c r="D19" i="27"/>
  <c r="D44" i="27"/>
  <c r="D39" i="27"/>
  <c r="D28" i="27"/>
  <c r="D36" i="27"/>
  <c r="D40" i="27"/>
  <c r="E11" i="27"/>
  <c r="E22" i="27"/>
  <c r="E32" i="27"/>
  <c r="E27" i="27"/>
  <c r="E29" i="27"/>
  <c r="E39" i="27"/>
  <c r="E48" i="27"/>
  <c r="C18" i="27"/>
  <c r="C55" i="27"/>
  <c r="C16" i="27"/>
  <c r="C8" i="27"/>
  <c r="C12" i="27"/>
  <c r="C37" i="27"/>
  <c r="C57" i="27"/>
  <c r="C41" i="27"/>
  <c r="C32" i="27"/>
  <c r="C39" i="27"/>
  <c r="C30" i="27"/>
  <c r="C56" i="27"/>
  <c r="C14" i="27"/>
  <c r="C21" i="27"/>
  <c r="C51" i="27"/>
  <c r="C49" i="27"/>
  <c r="C42" i="27"/>
  <c r="C31" i="27"/>
  <c r="C33" i="27"/>
  <c r="C46" i="27"/>
  <c r="C44" i="27"/>
  <c r="C9" i="27"/>
  <c r="C28" i="27"/>
  <c r="C52" i="27"/>
  <c r="C25" i="27"/>
  <c r="C23" i="27"/>
  <c r="C45" i="27"/>
  <c r="C7" i="27"/>
  <c r="C50" i="27"/>
  <c r="C53" i="27"/>
  <c r="C59" i="27"/>
  <c r="C29" i="27"/>
  <c r="C15" i="27"/>
  <c r="C43" i="27"/>
  <c r="C17" i="27"/>
  <c r="C47" i="27"/>
  <c r="C26" i="27"/>
  <c r="C35" i="27"/>
  <c r="C34" i="27"/>
  <c r="C20" i="27"/>
  <c r="C38" i="27"/>
  <c r="C10" i="27"/>
  <c r="C27" i="27"/>
  <c r="C48" i="27"/>
  <c r="C58" i="27"/>
  <c r="C13" i="27"/>
  <c r="C11" i="27"/>
  <c r="C36" i="27"/>
  <c r="C22" i="27"/>
  <c r="C24" i="27"/>
  <c r="C19" i="27"/>
  <c r="C54" i="27"/>
  <c r="C40" i="27"/>
  <c r="E54" i="24"/>
  <c r="E32" i="24"/>
  <c r="E42" i="27"/>
  <c r="E30" i="24"/>
  <c r="E42" i="24"/>
  <c r="E38" i="27"/>
  <c r="E45" i="27"/>
  <c r="D11" i="24"/>
  <c r="E29" i="24"/>
  <c r="E58" i="24"/>
  <c r="E37" i="24"/>
  <c r="E14" i="24"/>
  <c r="E27" i="24"/>
  <c r="D25" i="24"/>
  <c r="D44" i="24"/>
  <c r="D16" i="24"/>
  <c r="D52" i="24"/>
  <c r="D15" i="24"/>
  <c r="E57" i="24"/>
  <c r="E33" i="24"/>
  <c r="E28" i="24"/>
  <c r="E31" i="24"/>
  <c r="E53" i="24"/>
  <c r="D26" i="24"/>
  <c r="D32" i="24"/>
  <c r="D22" i="24"/>
  <c r="D12" i="24"/>
  <c r="D21" i="24"/>
  <c r="D55" i="24"/>
  <c r="D13" i="24"/>
  <c r="D46" i="24"/>
  <c r="D20" i="24"/>
  <c r="D53" i="24"/>
  <c r="D9" i="24"/>
  <c r="E44" i="24"/>
  <c r="E43" i="24"/>
  <c r="E34" i="24"/>
  <c r="E7" i="24"/>
  <c r="E38" i="24"/>
  <c r="D50" i="24"/>
  <c r="D29" i="24"/>
  <c r="D36" i="24"/>
  <c r="D28" i="24"/>
  <c r="D43" i="24"/>
  <c r="D47" i="24"/>
  <c r="D59" i="24"/>
  <c r="D8" i="24"/>
  <c r="D37" i="24"/>
  <c r="E47" i="24"/>
  <c r="E15" i="24"/>
  <c r="E49" i="24"/>
  <c r="E19" i="24"/>
  <c r="E10" i="24"/>
  <c r="D35" i="24"/>
  <c r="D42" i="24"/>
  <c r="D17" i="24"/>
  <c r="D40" i="24"/>
  <c r="D57" i="24"/>
  <c r="D41" i="24"/>
  <c r="D27" i="24"/>
  <c r="D23" i="24"/>
  <c r="D14" i="24"/>
  <c r="C12" i="24"/>
  <c r="C8" i="24"/>
  <c r="C48" i="24"/>
  <c r="C38" i="24"/>
  <c r="C35" i="24"/>
  <c r="C34" i="24"/>
  <c r="C43" i="24"/>
  <c r="C37" i="24"/>
  <c r="C15" i="24"/>
  <c r="C26" i="24"/>
  <c r="C31" i="24"/>
  <c r="C54" i="24"/>
  <c r="C51" i="24"/>
  <c r="C19" i="24"/>
  <c r="C58" i="24"/>
  <c r="C9" i="24"/>
  <c r="C24" i="24"/>
  <c r="C7" i="24"/>
  <c r="C42" i="24"/>
  <c r="C44" i="24"/>
  <c r="C36" i="24"/>
  <c r="C59" i="24"/>
  <c r="C53" i="24"/>
  <c r="C49" i="24"/>
  <c r="C13" i="24"/>
  <c r="C16" i="24"/>
  <c r="C39" i="24"/>
  <c r="C56" i="24"/>
  <c r="C22" i="24"/>
  <c r="C10" i="24"/>
  <c r="C28" i="24"/>
  <c r="C46" i="24"/>
  <c r="C47" i="24"/>
  <c r="C18" i="24"/>
  <c r="C21" i="24"/>
  <c r="C14" i="24"/>
  <c r="C17" i="24"/>
  <c r="C20" i="24"/>
  <c r="C27" i="24"/>
  <c r="C40" i="24"/>
  <c r="C11" i="24"/>
  <c r="C41" i="24"/>
  <c r="C57" i="24"/>
  <c r="C30" i="24"/>
  <c r="C33" i="24"/>
  <c r="C50" i="24"/>
  <c r="C23" i="24"/>
  <c r="C32" i="24"/>
  <c r="C25" i="24"/>
  <c r="C45" i="24"/>
  <c r="C55" i="24"/>
  <c r="C52" i="24"/>
  <c r="C29" i="24"/>
  <c r="D56" i="24"/>
  <c r="E35" i="24"/>
  <c r="E40" i="24"/>
  <c r="E36" i="24"/>
  <c r="E21" i="24"/>
  <c r="D24" i="24"/>
  <c r="D45" i="24"/>
  <c r="D51" i="24"/>
  <c r="D54" i="24"/>
  <c r="D34" i="24"/>
  <c r="D39" i="24"/>
  <c r="D38" i="24"/>
  <c r="D31" i="24"/>
  <c r="E13" i="24"/>
  <c r="E46" i="24"/>
  <c r="E56" i="24"/>
  <c r="E16" i="24"/>
  <c r="D33" i="24"/>
  <c r="D19" i="24"/>
  <c r="D7" i="24"/>
  <c r="D49" i="24"/>
  <c r="F113" i="8"/>
  <c r="F61" i="8"/>
  <c r="F60" i="8"/>
  <c r="E61" i="8"/>
  <c r="E60" i="8"/>
  <c r="E17" i="8"/>
  <c r="G17" i="8"/>
  <c r="G59" i="8"/>
  <c r="G61" i="8"/>
  <c r="F17" i="8"/>
  <c r="F114" i="8"/>
  <c r="F14" i="8"/>
  <c r="F46" i="8"/>
  <c r="G46" i="8"/>
  <c r="F118" i="8"/>
  <c r="F59" i="8"/>
  <c r="E118" i="8"/>
  <c r="E59" i="8"/>
  <c r="G58" i="8"/>
  <c r="G118" i="8"/>
  <c r="E117" i="8"/>
  <c r="E47" i="8"/>
  <c r="F117" i="8"/>
  <c r="G117" i="8"/>
  <c r="E56" i="8"/>
  <c r="F58" i="8"/>
  <c r="F124" i="8"/>
  <c r="F115" i="8"/>
  <c r="E44" i="8"/>
  <c r="E51" i="8"/>
  <c r="G54" i="8"/>
  <c r="F54" i="8"/>
  <c r="F49" i="8"/>
  <c r="E48" i="8"/>
  <c r="F51" i="8"/>
  <c r="E45" i="8"/>
  <c r="E46" i="8"/>
  <c r="E55" i="8"/>
  <c r="E52" i="8"/>
  <c r="E50" i="8"/>
  <c r="E43" i="8"/>
  <c r="E57" i="8"/>
  <c r="E58" i="8"/>
  <c r="F55" i="8"/>
  <c r="G55" i="8"/>
  <c r="G52" i="8"/>
  <c r="G50" i="8"/>
  <c r="G43" i="8"/>
  <c r="E54" i="8"/>
  <c r="E49" i="8"/>
  <c r="E53" i="8"/>
  <c r="G51" i="8"/>
  <c r="G49" i="8"/>
  <c r="F42" i="8"/>
  <c r="G42" i="8"/>
  <c r="F47" i="8"/>
  <c r="F53" i="8"/>
  <c r="F45" i="8"/>
  <c r="G57" i="8"/>
  <c r="G45" i="8"/>
  <c r="F56" i="8"/>
  <c r="F44" i="8"/>
  <c r="G56" i="8"/>
  <c r="G47" i="8"/>
  <c r="G44" i="8"/>
  <c r="F48" i="8"/>
  <c r="G48" i="8"/>
  <c r="G53" i="8"/>
  <c r="F52" i="8"/>
  <c r="F50" i="8"/>
  <c r="F43" i="8"/>
  <c r="F57" i="8"/>
  <c r="C7" i="107" l="1"/>
  <c r="F11" i="99"/>
  <c r="E12" i="93"/>
  <c r="F12" i="93" s="1"/>
  <c r="F9" i="99"/>
  <c r="E10" i="93"/>
  <c r="F10" i="93" s="1"/>
  <c r="F8" i="99"/>
  <c r="E9" i="93"/>
  <c r="F9" i="93" s="1"/>
  <c r="F7" i="99"/>
  <c r="E8" i="93"/>
  <c r="F8" i="93" s="1"/>
  <c r="F10" i="99"/>
  <c r="E11" i="93"/>
  <c r="F11" i="93" s="1"/>
  <c r="F12" i="99"/>
  <c r="E13" i="93"/>
  <c r="M63" i="43"/>
  <c r="C63" i="43"/>
  <c r="Y63" i="43"/>
  <c r="AB63" i="43"/>
  <c r="AE63" i="43"/>
  <c r="U63" i="43"/>
  <c r="J63" i="43"/>
  <c r="R63" i="43"/>
  <c r="AI63" i="43"/>
  <c r="F63" i="43"/>
  <c r="AC63" i="43"/>
  <c r="H63" i="43"/>
  <c r="K63" i="43"/>
  <c r="AJ63" i="43"/>
  <c r="L63" i="43"/>
  <c r="N63" i="43"/>
  <c r="S63" i="43"/>
  <c r="T63" i="43"/>
  <c r="O63" i="43"/>
  <c r="AA63" i="43"/>
  <c r="G63" i="43"/>
  <c r="AH63" i="43"/>
  <c r="P63" i="43"/>
  <c r="AF63" i="43"/>
  <c r="X63" i="43"/>
  <c r="V63" i="43"/>
  <c r="Z63" i="43"/>
  <c r="I63" i="43"/>
  <c r="E63" i="43"/>
  <c r="AD63" i="43"/>
  <c r="D63" i="43"/>
  <c r="W63" i="43"/>
  <c r="Q63" i="43"/>
  <c r="E7" i="107"/>
  <c r="D7" i="107"/>
  <c r="D63" i="35"/>
  <c r="D63" i="30"/>
  <c r="C63" i="32"/>
  <c r="C63" i="26"/>
  <c r="E63" i="33"/>
  <c r="D63" i="36"/>
  <c r="E63" i="45"/>
  <c r="E63" i="30"/>
  <c r="E63" i="39"/>
  <c r="E63" i="35"/>
  <c r="C63" i="39"/>
  <c r="E63" i="26"/>
  <c r="D63" i="54"/>
  <c r="C63" i="30"/>
  <c r="E63" i="55"/>
  <c r="C63" i="35"/>
  <c r="D63" i="26"/>
  <c r="C63" i="22"/>
  <c r="D63" i="45"/>
  <c r="D63" i="39"/>
  <c r="D63" i="55"/>
  <c r="C63" i="23"/>
  <c r="C63" i="36"/>
  <c r="C63" i="45"/>
  <c r="D63" i="22"/>
  <c r="C63" i="29"/>
  <c r="E63" i="23"/>
  <c r="D63" i="33"/>
  <c r="C63" i="38"/>
  <c r="C63" i="94"/>
  <c r="E63" i="36"/>
  <c r="C63" i="24"/>
  <c r="C63" i="27"/>
  <c r="D63" i="38"/>
  <c r="E63" i="27"/>
  <c r="C63" i="54"/>
  <c r="E63" i="94"/>
  <c r="D63" i="94"/>
  <c r="C63" i="33"/>
  <c r="D63" i="27"/>
  <c r="C63" i="55"/>
  <c r="D63" i="32"/>
  <c r="D63" i="29"/>
  <c r="D63" i="24"/>
  <c r="D63" i="23"/>
  <c r="E63" i="32"/>
  <c r="E63" i="22"/>
  <c r="E63" i="24"/>
  <c r="E63" i="38"/>
  <c r="E63" i="29"/>
  <c r="E63" i="15" l="1"/>
  <c r="F63" i="15"/>
  <c r="C63" i="15"/>
  <c r="C63" i="21"/>
  <c r="D63" i="15"/>
  <c r="E9" i="105" l="1"/>
  <c r="F9" i="105"/>
  <c r="K9" i="105"/>
  <c r="J9" i="105"/>
  <c r="L9" i="105"/>
  <c r="H9" i="105"/>
  <c r="I9" i="105"/>
  <c r="G9" i="10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<sst xmlns="http://schemas.openxmlformats.org/spreadsheetml/2006/main" count="10190" uniqueCount="1726">
  <si>
    <t>Kiel Military Procurement Tracker — 1st release (covering January 1, 2020 to July 31, 2024)</t>
  </si>
  <si>
    <t>The first release corresponds to and accompanies: Wolff, G.B., Burilkov, A., Bushnell, K., Kharitonov, I. (2024), “Fit for war in decades: Europe's and Germany's slow rearmament vis-à-vis Russia”, Kiel Institute report, September.</t>
  </si>
  <si>
    <r>
      <rPr>
        <b/>
        <sz val="12"/>
        <color theme="1"/>
        <rFont val="Arial"/>
        <family val="2"/>
        <charset val="204"/>
      </rPr>
      <t xml:space="preserve">1. </t>
    </r>
    <r>
      <rPr>
        <b/>
        <u/>
        <sz val="12"/>
        <color theme="1"/>
        <rFont val="Arial"/>
        <family val="2"/>
        <charset val="204"/>
      </rPr>
      <t>Citation</t>
    </r>
  </si>
  <si>
    <t>When using the data, please cite it as follows: Guntram B. Wolff, Ivan Kharitonov, Katelyn Bushnell (2024). "Kiel Military Procurement Tracker", Kiel Institute.</t>
  </si>
  <si>
    <t>2. Scope of the data set</t>
  </si>
  <si>
    <t>The Kiel Military Procurement Tracker systematically and comparatively tracks the military procurement of European countries. By taking official announcements and press releases from a European country’s ministry of defence website, we can record military orders and expenditures. Our database tracks information on the item ordered, the company from which it is ordered, the number of units ordered, the earliest expected delivery date, the latest expected delivery date, the monetary amount of the order, the budgetary vehicle that provides for the funding, and whether the order is part of a framework agreement. It also records the country in which the headquarters of the company responsible for fulfilling the order is located as well as the physical production or manufacturing country of the order in cases where the information is available.</t>
  </si>
  <si>
    <t>Country sample</t>
  </si>
  <si>
    <t>The current release only includes procurement data from Germany. Later releases may include other European countries.</t>
  </si>
  <si>
    <r>
      <t xml:space="preserve">3. </t>
    </r>
    <r>
      <rPr>
        <b/>
        <u/>
        <sz val="12"/>
        <rFont val="Arial"/>
        <family val="2"/>
        <charset val="204"/>
      </rPr>
      <t>Contents</t>
    </r>
  </si>
  <si>
    <t>The dataset is segmented into different coloured sheets. The contained information is as follows:</t>
  </si>
  <si>
    <t>Grey sheets</t>
  </si>
  <si>
    <t>ReadMe.</t>
  </si>
  <si>
    <t>Blue sheets</t>
  </si>
  <si>
    <t xml:space="preserve">Contains dataset for military orders and ammunition framework agreements as well as a summary of unit costs and aggregated orders by general item type. </t>
  </si>
  <si>
    <t>Terracotta sheets</t>
  </si>
  <si>
    <t>Contains auxiliary information used in the dataset such as a general description of classifications and item classification.</t>
  </si>
  <si>
    <t>Purple sheets</t>
  </si>
  <si>
    <t xml:space="preserve">Contains figures found in the main text of the corresponding Kiel Institute report (Wolff et al., 2024) and the respective data of which they are comprised. </t>
  </si>
  <si>
    <t>Green sheets</t>
  </si>
  <si>
    <t xml:space="preserve">Contains figures found in the annex of the corresponding Kiel Institute report (Wolff et al., 2024) and the respective data of which they are comprised. </t>
  </si>
  <si>
    <t>4. Column names and descriptions</t>
  </si>
  <si>
    <t>"MAIN DATA, Orders"</t>
  </si>
  <si>
    <t>id</t>
  </si>
  <si>
    <t>Unique ID for the order and specific item within the order.</t>
  </si>
  <si>
    <t>linked_id</t>
  </si>
  <si>
    <t>Linked ID that orders that are related by theme or project share.</t>
  </si>
  <si>
    <t>purchaser_country</t>
  </si>
  <si>
    <t>Country that makes the order.</t>
  </si>
  <si>
    <t>announcement_date</t>
  </si>
  <si>
    <t>Date that the order was approved or announced. In all but a few cases, this date refers to when the Bundestag Budget Committee approved the order.</t>
  </si>
  <si>
    <t>item</t>
  </si>
  <si>
    <t>Item ordered.</t>
  </si>
  <si>
    <t>specific_item_type</t>
  </si>
  <si>
    <t>Specific type of item ordered. See "List of Classifications" and "Item Classification" for more details.</t>
  </si>
  <si>
    <t>general_item_type</t>
  </si>
  <si>
    <t>General type of item ordered. See "List of Classifications" and "Item Classification" for more details.</t>
  </si>
  <si>
    <t>item_number</t>
  </si>
  <si>
    <t>Classification number of item ordered. See "List of Classifications" and "Item Classification" for more details.</t>
  </si>
  <si>
    <t>units</t>
  </si>
  <si>
    <t>Number of units of an item ordered. For regular contract extensions, we consider a unit to be a year of continued service.</t>
  </si>
  <si>
    <t>unit_cost_euro</t>
  </si>
  <si>
    <t>Unit cost of item ordered in Euro. Calculated as total monetary amount of the order divided by number of units.</t>
  </si>
  <si>
    <t>expected_delivery_from</t>
  </si>
  <si>
    <t>Earliest expected delivery date. For orders that are not for an item per se, this refers to when a contractor's obligation to the armed forces starts.</t>
  </si>
  <si>
    <t>expected_delivery_to</t>
  </si>
  <si>
    <t>Latest expected delivery date. For orders that are not for an item per se, this refers to when a contractor's obligation to the armed forces ends.</t>
  </si>
  <si>
    <t>amount_euro</t>
  </si>
  <si>
    <t>Total monetary amount of the order in Euro.</t>
  </si>
  <si>
    <t>funding_1</t>
  </si>
  <si>
    <t>Primary budgetary vehicle that provides the funding for the order. See "List of Classifications" for more details.</t>
  </si>
  <si>
    <t>funding_2</t>
  </si>
  <si>
    <t>Secondary budgetary vehicle that provides the funding for the order. See "List of Classifications" for more details.</t>
  </si>
  <si>
    <t>order_recipient</t>
  </si>
  <si>
    <t>Country for which the purchaser country makes the order.</t>
  </si>
  <si>
    <t>month</t>
  </si>
  <si>
    <t>Month that the order was approved (or announced, if approval date is unknown). 1 = January 2020 and 55 = July 2024.</t>
  </si>
  <si>
    <t>framework_agreement(1=yes)</t>
  </si>
  <si>
    <t>Whether the order is made as part of a framework agreement or contract.</t>
  </si>
  <si>
    <t>contract_extension(1=yes)</t>
  </si>
  <si>
    <t>Whether the order refers to a regular contract extension for operational services instead of an item per se (e.g. a maintenance contract).</t>
  </si>
  <si>
    <t>big_ticket_item(1=yes)</t>
  </si>
  <si>
    <t xml:space="preserve">Whether the order is a 'big ticket item' off the shelf from the US. </t>
  </si>
  <si>
    <t>Whether the order is received by a European (EU-members + UK, Norway, Iceland, Switzerland) company.</t>
  </si>
  <si>
    <t>multinational_european(1=yes)</t>
  </si>
  <si>
    <t>Whether the order is received by companies from more than one European country (excluding non-European countries).</t>
  </si>
  <si>
    <t>multinational_global(1=yes)</t>
  </si>
  <si>
    <t>Whether the order is received by companies from more than one country (including non-European countries).</t>
  </si>
  <si>
    <t>purchaser_and_foreign(1=yes)</t>
  </si>
  <si>
    <t>Whether the order is received by companies from the purchaser country and another country.</t>
  </si>
  <si>
    <t>main_company_1</t>
  </si>
  <si>
    <t>Company 1 that receives the order.</t>
  </si>
  <si>
    <t>main_developer_1</t>
  </si>
  <si>
    <t>Country 1 that develops an ordered item (either the country itself or the country where the company that receives the order is primarily located).</t>
  </si>
  <si>
    <t>main_manufacturer_1</t>
  </si>
  <si>
    <t>Country 1 where an ordered item is physically produced.</t>
  </si>
  <si>
    <t>company_2</t>
  </si>
  <si>
    <t>Company 2 that receives the order.</t>
  </si>
  <si>
    <t>company_3</t>
  </si>
  <si>
    <t>Company 3 that receives the order.</t>
  </si>
  <si>
    <t>company_4</t>
  </si>
  <si>
    <t>Company 4 that receives the order.</t>
  </si>
  <si>
    <t>company_5</t>
  </si>
  <si>
    <t>Company 5 that receives the order.</t>
  </si>
  <si>
    <t>developer_2</t>
  </si>
  <si>
    <t>Country 2 that develops an ordered item (either the country itself or the country where the company that receives the order is primarily located).</t>
  </si>
  <si>
    <t>developer_3</t>
  </si>
  <si>
    <t>Country 3 that develops an ordered item (either the country itself or the country where the company that receives the order is primarily located).</t>
  </si>
  <si>
    <t>developer_4</t>
  </si>
  <si>
    <t>Country 4 that develops an ordered item (either the country itself or the country where the company that receives the order is primarily located).</t>
  </si>
  <si>
    <t>developer_5</t>
  </si>
  <si>
    <t>Country 5 that develops an ordered item (either the country itself or the country where the company that receives the order is primarily located).</t>
  </si>
  <si>
    <t>developer_6</t>
  </si>
  <si>
    <t>Country 6 that develops an ordered item (either the country itself or the country where the company that receives the order is primarily located).</t>
  </si>
  <si>
    <t>developer_7</t>
  </si>
  <si>
    <t>Country 7 that develops an ordered item (either the country itself or the country where the company that receives the order is primarily located).</t>
  </si>
  <si>
    <t>developer_8</t>
  </si>
  <si>
    <t>Country 8 that develops an ordered item (either the country itself or the country where the company that receives the order is primarily located).</t>
  </si>
  <si>
    <t>developer_9</t>
  </si>
  <si>
    <t>Country 9 that develops an ordered item (either the country itself or the country where the company that receives the order is primarily located).</t>
  </si>
  <si>
    <t>developer_10</t>
  </si>
  <si>
    <t>Country 10 that develops an ordered item (either the country itself or the country where the company that receives the order is primarily located).</t>
  </si>
  <si>
    <t>manufacturer_2</t>
  </si>
  <si>
    <t>Country 2 where the ordered item is physically produced.</t>
  </si>
  <si>
    <t>manufacturer_3</t>
  </si>
  <si>
    <t>Country 3 where the ordered item is physically produced.</t>
  </si>
  <si>
    <t>source_1</t>
  </si>
  <si>
    <t>Source of information 1.</t>
  </si>
  <si>
    <t>source_2</t>
  </si>
  <si>
    <t>Source of information 2.</t>
  </si>
  <si>
    <t>source_3</t>
  </si>
  <si>
    <t>Source of information 3.</t>
  </si>
  <si>
    <t>comment_1</t>
  </si>
  <si>
    <t>Description of the order from the sources or note 1.</t>
  </si>
  <si>
    <t>comment_2</t>
  </si>
  <si>
    <t>Description of the order from the sources or note 2.</t>
  </si>
  <si>
    <t>comment_3</t>
  </si>
  <si>
    <t>Description of the order from the sources or note 3.</t>
  </si>
  <si>
    <t>"Amm. Framework Agreements"</t>
  </si>
  <si>
    <t>Unique ID for a framework agreement and specific stage of a framework agreement.</t>
  </si>
  <si>
    <t>Country that holds a framework agreement or initiates the call down order.</t>
  </si>
  <si>
    <t>Date that a framework agreement or order was approved or announced.</t>
  </si>
  <si>
    <t>Item ordered as part of a framework agreement.</t>
  </si>
  <si>
    <t>Maximum number of units that can be ordered as part of a framework agreement.</t>
  </si>
  <si>
    <t>Unit cost of item ordered in Euro. Calculated as monetary amount of a stage of a framework agreement divided by number of units.</t>
  </si>
  <si>
    <t>Earliest expected delivery date, when a framework agreement is expected to start.</t>
  </si>
  <si>
    <t>Latest expected delivery date, when a framework agreement is expected to end.</t>
  </si>
  <si>
    <t>Monetary amount of a specific stage of a framework agreement in Euro.</t>
  </si>
  <si>
    <t>total_amount_euro</t>
  </si>
  <si>
    <t>Total monetary amount of a framework agreement in Euro.</t>
  </si>
  <si>
    <t>amount_ordered_euro</t>
  </si>
  <si>
    <t>Monetary amount of a framework agreement that has been ordered and counted in the dataset in Euro.</t>
  </si>
  <si>
    <t>units_ordered</t>
  </si>
  <si>
    <t>Units of an item of a framework agreement that have been ordered and counted in the dataset.</t>
  </si>
  <si>
    <t>Month that a framework agreement creation, expansion, or call down order was approved (or announced). 1 = January 2020 and 55 = July 2024.</t>
  </si>
  <si>
    <t>expanded(1=yes)</t>
  </si>
  <si>
    <t>Whether the increase of a framework agreement is an expansion of an existing agreement, rather than the creation of a new one.</t>
  </si>
  <si>
    <t>european(1=yes)</t>
  </si>
  <si>
    <t>Whether a framework agreement is made with a European (EU-members + UK, Norway, Iceland, Switzerland) company.</t>
  </si>
  <si>
    <t>Whether a framework agreement is made with companies from more than one European country (excluding non-European countries).</t>
  </si>
  <si>
    <t>Whether a framework agreement is made with companies from more than one country (including non-European countries).</t>
  </si>
  <si>
    <t>Whether a framework agreement is made with companies from the purchaser country and another country.</t>
  </si>
  <si>
    <t>Company 1 that receives a framework agreement and subsequent orders.</t>
  </si>
  <si>
    <t>Country 1 that develops an item (either the country itself or the country where the company that receives the order is primarily located).</t>
  </si>
  <si>
    <t>Country 1 where an item is physically produced.</t>
  </si>
  <si>
    <t>Company 2 that receives a framework agreement and subsequent orders.</t>
  </si>
  <si>
    <t>Country 2 that develops an item (either the country itself or the country where the company that receives the order is primarily located).</t>
  </si>
  <si>
    <t>Description of a framework agreement and orders from the sources or note 1.</t>
  </si>
  <si>
    <t>Description of a framework agreement and orders from the sources or note 2.</t>
  </si>
  <si>
    <t>Description of a framework agreement and orders from the sources or note 3.</t>
  </si>
  <si>
    <t>linked_id_1</t>
  </si>
  <si>
    <t>Order ID in "MAIN DATA, Orders" that corresponds to a framework agreement 1.</t>
  </si>
  <si>
    <t>linked_id_2</t>
  </si>
  <si>
    <t>Order ID in "MAIN DATA, Orders" that corresponds to a framework agreement 2.</t>
  </si>
  <si>
    <t>linked_id_3</t>
  </si>
  <si>
    <t>Order ID in "MAIN DATA, Orders" that corresponds to a framework agreement 3.</t>
  </si>
  <si>
    <t>additional_call_1</t>
  </si>
  <si>
    <t>Additional order from a framework agreement not counted in dataset 1.</t>
  </si>
  <si>
    <t>additional_call_2</t>
  </si>
  <si>
    <t>Additional order from a framework agreement not counted in dataset 2.</t>
  </si>
  <si>
    <t>additional_call_3</t>
  </si>
  <si>
    <t>Additional order from a framework agreement not counted in dataset 3.</t>
  </si>
  <si>
    <t>DE1</t>
  </si>
  <si>
    <t>.</t>
  </si>
  <si>
    <t>Germany</t>
  </si>
  <si>
    <t>Heron 1 operation - contract extension (1 year)</t>
  </si>
  <si>
    <t>Einzelplan 14</t>
  </si>
  <si>
    <t>Israel Aerospace Industries</t>
  </si>
  <si>
    <t>Israel</t>
  </si>
  <si>
    <t>Airbus Defence and Space</t>
  </si>
  <si>
    <t>https://www.bmvg.de/de/aktuelles/heron-1-fliegt-weiter-ueber-mali-257186</t>
  </si>
  <si>
    <t>https://www.airbus.com/en/newsroom/press-releases/2020-07-german-bundeswehr-renews-service-contracts-for-heron-1-systems-in</t>
  </si>
  <si>
    <t>"The operator contract for the use of the Heron 1 unmanned aircraft system in Mali is to be extended by one year. Around 30 million euros are earmarked for the contract extension. A further one-year term extension is optionally possible."</t>
  </si>
  <si>
    <t>DE2</t>
  </si>
  <si>
    <t>ClassF126</t>
  </si>
  <si>
    <t>Multi-purpose combat ship (MKS) 180 / Class F126 frigate</t>
  </si>
  <si>
    <t>Damen Schelde Naval Shipbuilding</t>
  </si>
  <si>
    <t>Netherlands</t>
  </si>
  <si>
    <t>Fr. Lürssen Werft</t>
  </si>
  <si>
    <t>Thales</t>
  </si>
  <si>
    <t>Hensoldt</t>
  </si>
  <si>
    <t>German Naval Yards</t>
  </si>
  <si>
    <t>France</t>
  </si>
  <si>
    <t>https://www.bmvg.de/de/aktuelles/neue-schiffe-neues-radar-eurofighter-neue-it-bundeswehr-267934</t>
  </si>
  <si>
    <t>https://www.bmvg.de/de/aktuelles/vertrag-bau-mks-180-unterzeichnet-268154</t>
  </si>
  <si>
    <t>https://esut.de/2020/06/meldungen/21194/mehrzweckkampfschiff-mks-180-vertragsunterzeichnung/</t>
  </si>
  <si>
    <t>"For around 5.6 billion euros, the German Armed Forces are purchasing four multi-purpose combat ships 180 (MKS 180) including land facilities for training. The Bundeswehr reserves the option to purchase two additional ships in the contract. The special feature of the MKS 180 is that they are equipped for air defence as well as for surface and underwater warfare. A particular focus is on the ability to combat submarines."</t>
  </si>
  <si>
    <t>DE3</t>
  </si>
  <si>
    <t>Radar technology for Eurofighter</t>
  </si>
  <si>
    <t>Airbus</t>
  </si>
  <si>
    <t>Indra</t>
  </si>
  <si>
    <t>Spain</t>
  </si>
  <si>
    <t>https://www.flugrevue.de/flugzeugbau/eine-milliarde-euro-freigegeben-aesa-radar-fuer-den-eurofighter/</t>
  </si>
  <si>
    <t>"The Bundeswehr is able to conclude four contracts with a total volume of around 2.8 billion euros for new radar technology for the Eurofighter. On the one hand, the money is planned to be used to purchase state-of-the-art radar devices with electronic beam sweeping. On the other hand, multi-channel receivers are to be developed to exploit the performance potential of this future-oriented technology and integrated into the Eurofighter. The procurement of the radar hardware that has already been developed should run parallel to the development of the final software. The new radar system should be available with all its capabilities by the mid-2020s."</t>
  </si>
  <si>
    <t>DE4</t>
  </si>
  <si>
    <t>BWI</t>
  </si>
  <si>
    <t>Hercules follow-up project (HFP) - contract extension (4 years)</t>
  </si>
  <si>
    <t>https://www.bwi.de/magazin/artikel/it-betrieb-fuer-bundeswehr-durch-bwi-bis-2027-sichergestellt</t>
  </si>
  <si>
    <t>"The service contract with BWI is to be extended by four years. This concerns the continuation of the operation of the Bundeswehr's administrative information and communication technology. The contract will have a financial volume of around 4.6 billion euros. "</t>
  </si>
  <si>
    <t>DE5</t>
  </si>
  <si>
    <t>Establishment of Agency for Innovation in Cybersecurity</t>
  </si>
  <si>
    <t>Einzelplan 06</t>
  </si>
  <si>
    <t>https://www.bmvg.de/de/presse/startschuss-cyberagentur-1242298</t>
  </si>
  <si>
    <t>https://www.bmi.bund.de/SharedDocs/pressemitteilungen/DE/2020/08/startschuss-cyberagentur.html</t>
  </si>
  <si>
    <t>https://esut.de/2020/08/meldungen/22206/gruendung-der-cyberagentur/</t>
  </si>
  <si>
    <t>"With its long-term orientation and focus on external and internal security, the Cyber ​​Agency complements the other initiatives of the Federal Government. The agency will initially have a total of 350 million euros from the budgets of the BMVg (Federal Ministry of Defence) and the BMI (Federal Ministry of the Interior)."</t>
  </si>
  <si>
    <t>DE6</t>
  </si>
  <si>
    <t>BWI - contract extension (7 years)</t>
  </si>
  <si>
    <t>https://www.bmvg.de/de/aktuelles/bundeswehr-investiert-rund-2-1-milliarden-euro-2034972</t>
  </si>
  <si>
    <t>https://esut.de/2020/09/meldungen/22796/21-milliarden-euro-fuer-informationstechnik-und-munition/</t>
  </si>
  <si>
    <t>"The service contract with the in-house IT company BWI is to be changed again. BWI services are now to be commissioned between 2021 and 2027 for a total of around 1.6 billion euros. The contract promotes digitalization in the armed forces and, above all, in the Bundeswehr's healthcare system."</t>
  </si>
  <si>
    <t>DE7</t>
  </si>
  <si>
    <t>Fighter aircraft guided bomb</t>
  </si>
  <si>
    <t>Aircraft</t>
  </si>
  <si>
    <t>Diehl Defence</t>
  </si>
  <si>
    <t>Boeing</t>
  </si>
  <si>
    <t>RWM Italia</t>
  </si>
  <si>
    <t>Junghans Microtec</t>
  </si>
  <si>
    <t>Northrop Grumman</t>
  </si>
  <si>
    <t>United States</t>
  </si>
  <si>
    <t>Italy</t>
  </si>
  <si>
    <t>https://euro-sd.com/2020/09/news/19152/gbu-54-contract-for-bundeswehr/</t>
  </si>
  <si>
    <t>"The Eurofighter is to receive another precision armament with the GBU-54. This ammunition is guided, all-weather capable and intended for short range. With a mass of around 230 kilograms, the explosive power is only half as great as that of the GBU-48. The GBU-54 can also be guided to the target using a laser. The Bundeswehr can now conclude contracts for around 213 million euros and purchase 2,290 guidance systems and detonators as well as 910 bomb bodies. Testing materials and training materials are also part of the intended contract volume."</t>
  </si>
  <si>
    <t>DE7_a</t>
  </si>
  <si>
    <t>Eurofighter GBU-54 guidance system</t>
  </si>
  <si>
    <t>DE7_b</t>
  </si>
  <si>
    <t>Eurofighter GBU-54 detonator</t>
  </si>
  <si>
    <t>DE7_c</t>
  </si>
  <si>
    <t>Eurofighter GBU-54 bomb body</t>
  </si>
  <si>
    <t>DE8</t>
  </si>
  <si>
    <t>RBS15</t>
  </si>
  <si>
    <t>RBS15 Mk3 guided missile</t>
  </si>
  <si>
    <t>Saab</t>
  </si>
  <si>
    <t>Sweden</t>
  </si>
  <si>
    <t>https://www.bundeswehr-journal.de/2020/ergaenzungsbeschaffung-seezielflugkoerper-rbs15-mk3/</t>
  </si>
  <si>
    <t>"The Navy is to receive additional guided missiles for the K130 class corvettes, which can be used to combat sea and land targets. Up to 160 of the RBS15 Mk3 missiles can then be ordered under a framework agreement. Of these, 75 of these long-range guided missiles and corresponding accessories have already been firmly ordered. The financial volume for this is 285 million euros."</t>
  </si>
  <si>
    <t>DE9</t>
  </si>
  <si>
    <t>RBS15 Mk3 guided missile - additional services</t>
  </si>
  <si>
    <t>"A further six million euros will be used, among other things, to purchase the necessary IT-Components and test material are to be procured. The additional RBS15 Mk3 guided missiles maintain and improve the capabilities and operational readiness of the corvettes."</t>
  </si>
  <si>
    <t>DE10</t>
  </si>
  <si>
    <t>Clothing and personal equipment - contract extension (3 years)</t>
  </si>
  <si>
    <t>Bw Bekleidungsmanagement</t>
  </si>
  <si>
    <t>https://www.bmvg.de/de/aktuelles/vertrag-mit-bw-bekleidungsmanagement-gmbh-verlaengert-2341588</t>
  </si>
  <si>
    <t>"The performance contract with the Bw Clothing Management is to be worth around 280 million euros. [The contract] should be extended by three years until 2023 and further procurement should be initiated."</t>
  </si>
  <si>
    <t>"The contract extension is also intended to cover further needs for equipping soldiers with uniforms, uniform parts and personal equipment. In addition to the expenses for the contract extension, the total contract volume of around 280 million euros also includes additional financial requirements for clothing and personal equipment. For example, new medical clothing is planned that can be cleaned using chemo-thermal processes and thus improves compliance with modern hygiene requirements."</t>
  </si>
  <si>
    <t>DE11</t>
  </si>
  <si>
    <t>Free train travel for soldiers</t>
  </si>
  <si>
    <t>Deutsche Bahn</t>
  </si>
  <si>
    <t>https://www.bmvg.de/de/presse/erfolg-kostenloses-bahnfahren-in-uniform-3279156</t>
  </si>
  <si>
    <t>https://www.bundeswehr.de/de/aktuelles/meldungen/freie-bahnfahrt-soldatinnen-soldaten-regional-3045024</t>
  </si>
  <si>
    <t>"Around 40 million euros have been made available in the 2021 defense budget for free train travel for soldiers in uniform."</t>
  </si>
  <si>
    <t>DE12</t>
  </si>
  <si>
    <t>Quadriga Eurofighter</t>
  </si>
  <si>
    <t>United Kingdom</t>
  </si>
  <si>
    <t>https://www.bmvg.de/de/aktuelles/bundeswehr-bekommt-neue-eurofighter-4151308</t>
  </si>
  <si>
    <t>https://www.bundeswehr.de/de/organisation/luftwaffe/aktuelles/quadriga-ersatz-fuer-die-erste-generation-eurofighter-4189752</t>
  </si>
  <si>
    <t>https://www.airbus.com/en/newsroom/press-releases/2020-11-airbus-signs-contract-for-38-eurofighters-with-germany</t>
  </si>
  <si>
    <t>"The German Armed Forces are to receive 38 new Eurofighter combat aircraft : the Budget Committee of the German Bundestag has now approved 5.5 billion euros for this purpose in its meeting on 5 November. The plan is to purchase not only the jets but also spare parts, ground service testing equipment and special tools (BPS). This is intended to increase the availability of spare parts and the operational readiness of the machines. The new jets are scheduled to be delivered from 2025 onwards. The Air Force is to receive the last aircraft in this tranche in 2030."</t>
  </si>
  <si>
    <t>"The procurement project of the fourth tranche, also known under the project name Quadriga, will gradually replace the Eurofighters of the first production batch, which were procured between 2003 and 2008. Since the first tranche can only be used for air combat and spare parts are often already outdated, this first series is to be replaced."</t>
  </si>
  <si>
    <t>DE13</t>
  </si>
  <si>
    <t>Testing equipment for DM2A4 torpedo</t>
  </si>
  <si>
    <t>Atlas Elektronik</t>
  </si>
  <si>
    <t>https://www.bmvg.de/de/aktuelles/bundeswehr-zukunftsinvestitionen-175-millionen-euro-4473484</t>
  </si>
  <si>
    <t>https://www.shephardmedia.com/news/defence-notes/germany-approves-175-million-investment-package/</t>
  </si>
  <si>
    <t>https://www.hartpunkt.de/vorlagen-fuer-neue-munition-und-it-genehmigt/</t>
  </si>
  <si>
    <t>"The DM2A4 heavy-duty torpedo of the German submarine fleet is to be overhauled. In order for the main armament of the submarines to continue to be used in the future, outdated components that are no longer available as spare parts must be replaced. The testing and peripheral equipment must also be updated accordingly. For around 31 million euros, 69 equipment sets for the torpedoes are to be purchased and the responsible personnel will also be trained accordingly."</t>
  </si>
  <si>
    <t>DE14</t>
  </si>
  <si>
    <t>DE_120mm_1</t>
  </si>
  <si>
    <t>Leopard 2 ammunition DM88 (training)</t>
  </si>
  <si>
    <t>Rheinmetall</t>
  </si>
  <si>
    <t>https://www.rheinmetall.com/de/media/news-watch/news/2020/2020-12-17_bundeswehr-erteilt-rheinmetall-einen-rahmenvertrag-zur-lieferung-von-panzermunition</t>
  </si>
  <si>
    <t>https://www.bundeswehr-journal.de/2020/genug-munition-fuer-kampfpanzer-leopard-2-bis-ende-2028/</t>
  </si>
  <si>
    <t>"To ensure that the Bundeswehr's tank forces are adequately supplied with ammunition, a framework agreement is to be concluded for the production and delivery of three types of ammunition for the Leopard 2 main battle tank. At the same time, the Bundeswehr wants to place a binding order for 15,000 cartridges, 120 millimeters x 570, DM 88 for around 26 million euros. The framework agreement is to be valid until the end of 2028. Framework agreements enable efficient and effective coverage of requirements over several years. They mean more planning security and greater security of supply for the public client, while at the same time saving time and reducing administrative effort."</t>
  </si>
  <si>
    <t>DE15</t>
  </si>
  <si>
    <t>Future-oriented IT security solution development</t>
  </si>
  <si>
    <t>"The Bundeswehr should provide better protection for its IT-wide area network. The network infrastructure of the network spread across Germany is to be renewed and a future-oriented IT security solution will be developed. This will be done in close cooperation with the Federal Office for Information Security (BSI). A remuneration of around 117 million euros is planned for the services to be provided by the in-house service provider BWI until 2027."</t>
  </si>
  <si>
    <t>DE16</t>
  </si>
  <si>
    <t>Sea Tiger</t>
  </si>
  <si>
    <t>Sea Tiger NH-90 Multi Role Frigate Helicopter</t>
  </si>
  <si>
    <t>Airbus Helicopters</t>
  </si>
  <si>
    <t>https://www.bmvg.de/de/aktuelles/deutsche-marine-neue-bordhubschrauber-4473464</t>
  </si>
  <si>
    <t>https://www.bmvg.de/de/aktuelles/weiterentwicklung-nh-90-flotte-eurofighter-genehmigt-5773350</t>
  </si>
  <si>
    <t>https://www.airbus.com/en/newsroom/press-releases/2020-11-bundeswehr-orders-31-nh90-helicopters-for-shipborne-operations</t>
  </si>
  <si>
    <t>"The Sea Tigers, like the Sea Lion naval transport helicopter, are based on the naval variant of the NATO Helicopter NH-90. The new helicopters will be equipped for various operational roles. In addition to the multi-role capable helicopters, the contracts worth around 2.7 billion euros also include accessories, spare parts and training equipment. From the end of 2025, the Sea Tigers will replace the Sea Lynx Mk88A machines , which have been in use since the 1980s."</t>
  </si>
  <si>
    <t>DE17</t>
  </si>
  <si>
    <t>Protected truck 15t</t>
  </si>
  <si>
    <t>https://www.bmvg.de/de/aktuelles/moderne-transportfahrzeuge-bundeswehr-4575696</t>
  </si>
  <si>
    <t>https://esut.de/2020/11/meldungen/24443/bundeswehr-investiert-weiter-in-transportfahrzeuge/</t>
  </si>
  <si>
    <t>"The Bundeswehr is increasingly focusing on national and alliance defense. This also increases the need for protected and unprotected militarized transport vehicles. Up to 1,048 appropriately protected trucks with a payload of 15 tons are to be procured through calls from a framework agreement to be concluded with a term of seven years. 224 of these vehicles are to be ordered with a binding contract upon conclusion of the contract. The costs for production and delivery will be around 180 million euros. The scope of delivery also includes special tool sets and armored glass composite panes. This is the third production batch of this vehicle family. As the vehicles arrive, they will also be included in the German contribution to VJTF [Very High Readiness Joint Task Force] 2023, the rapid reaction force known as the spearhead of the NATO, used."</t>
  </si>
  <si>
    <t>"The protected transport vehicles come in five variants. 32 vehicles are to be delivered as the basic version, 15 vehicles are equipped with a loading crane. Winch systems are planned for 76 vehicles, seven vehicles will have a loading crane and winch system. 94 of the protected transport vehicles will be delivered with an air-sprung rear axle."</t>
  </si>
  <si>
    <t>"Deliveries are scheduled to begin next year and be completed by 2025. All vehicles will be pre-equipped to accommodate military equipment such as radios. They can also accommodate a lightweight, remote-controlled weapon station for self-protection. In addition to the framework contract, further contracts will be signed for the procurement of IT-Components, assemblies for navigation devices and training equipment for around five million euros."</t>
  </si>
  <si>
    <t>DE18</t>
  </si>
  <si>
    <t>Tractor unit 70t</t>
  </si>
  <si>
    <t>Konjunkturpaket</t>
  </si>
  <si>
    <t>"The Bundeswehr wants to use the funds from the federal government's economic stimulus package to bring forward the purchase of 48 tractor units. The systems are to be purchased from an existing framework agreement. The unprotected, military-equipped tractor units can transport payloads of up to 70 tons. Heavy equipment such as the Leopard 2 battle tank in its A6M and A7 variants pose no problem for these machines. The approximately 41 million euros for the procurement not only include the tractor units, but also the pre-equipment for the military communication and command equipment in the vehicle. The tractor units are to be included in the German contribution to the VJTF [Very High Readiness Joint Task Force] 2023 will be used."</t>
  </si>
  <si>
    <t>DE19</t>
  </si>
  <si>
    <t>Non-combat military vehicle</t>
  </si>
  <si>
    <t>Other</t>
  </si>
  <si>
    <t>"The German Armed Forces will purchase 401 unprotected transport vehicles in the five-ton and 15-ton payload classes from an existing framework contract for around 154 million euros. These are to be delivered by the end of 2021. 292 vehicles with a five-ton payload and 109 vehicles with a 15-ton payload are to be purchased."</t>
  </si>
  <si>
    <t>DE19_a</t>
  </si>
  <si>
    <t>Unprotected truck 5t</t>
  </si>
  <si>
    <t>https://esut.de/2021/01/meldungen/25023/rahmenvertrag-utf-logistikfahrzeuge-stark-erweitert/</t>
  </si>
  <si>
    <t>DE19_b</t>
  </si>
  <si>
    <t>Unprotected truck 15t</t>
  </si>
  <si>
    <t>DE20</t>
  </si>
  <si>
    <t>"In addition, the existing framework agreement will be adjusted. For example, funds from the federal government's economic stimulus package to deal with the Corona crisis can be used to purchase a further 1,000 unprotected military transport vehicles in the payload classes five and 15 tonnes. Around 389 million euros are available for this. This will enable 150 vehicles with a payload of five tonnes and 850 vehicles with 15 tonnes to be procured. These vehicles will be delivered in 2021 and 2022. The scope of procurement includes deliveries of spare parts, so that a high level of material operational readiness is guaranteed."</t>
  </si>
  <si>
    <t>DE20_a</t>
  </si>
  <si>
    <t>DE20_b</t>
  </si>
  <si>
    <t>DE21</t>
  </si>
  <si>
    <t>Non-combat military vehicle part</t>
  </si>
  <si>
    <t>https://esut.de/2020/10/meldungen/23414/1-000-ungeschuetzte-logistik-lkw-fuer-die-bundeswehr/</t>
  </si>
  <si>
    <t>"Finally, a further 48 million euros are also available from the economic stimulus package. This will be used to procure up to 900 standard swap bodies measuring 20 feet in length and up to 950 standard swap bodies measuring 15 feet in length through two separate contracts. These bodies will be used to equip the unprotected military transport vehicles in the five and 15 ton load classes. The advantage here is that the bodies are not assigned to just one vehicle. This helps the Bundeswehr to solve its transport tasks flexibly."</t>
  </si>
  <si>
    <t>DE21_a</t>
  </si>
  <si>
    <t>Swap body 20 feet</t>
  </si>
  <si>
    <t>DE21_b</t>
  </si>
  <si>
    <t>Swap body 15 feet</t>
  </si>
  <si>
    <t>DE22</t>
  </si>
  <si>
    <t>Blocking minority ownership stake in Hensoldt AG</t>
  </si>
  <si>
    <t>https://www.bmvg.de/de/presse/bundesrepublik-deutschland-beteiligung-hensoldt-ag-4918388</t>
  </si>
  <si>
    <t>https://www.reuters.com/article/idUSKBN28R1RG/</t>
  </si>
  <si>
    <t>"In order to protect the national security and defense industry key technologies defined in the Federal Government's strategy paper on strengthening the security and defense industry of February 12, 2020, the Federal Government, represented by the Federal Ministry of Defense, plans to acquire a 25.1 percent stake (blocking minority) in Hensoldt AG at a price of EUR 450 million, subject to antitrust and state aid law reviews. The Federal Government decided this today."</t>
  </si>
  <si>
    <t>DE23</t>
  </si>
  <si>
    <t>Anti-tank guided missile</t>
  </si>
  <si>
    <t>Missile (Land)</t>
  </si>
  <si>
    <t>EuroSpike</t>
  </si>
  <si>
    <t>Rafael</t>
  </si>
  <si>
    <t>https://www.bmvg.de/de/aktuelles/bundeswehr-lenkflugkoerper-mells-beschaffung-5027884</t>
  </si>
  <si>
    <t>https://www.rheinmetall.com/de/media/news-watch/news/2021/2021-03-29_millionenauftrag-fuer-rheinmetall</t>
  </si>
  <si>
    <t>"The Bundeswehr now wants to order additional guided missiles and weapon systems from an existing framework agreement. This fourth batch complements the MELLS guided missiles and weapon systems that have been procured so far. The currently planned procurement scope of weapon systems has already been achieved with the current order. The existing framework agreement allows for further orders for guided missiles."</t>
  </si>
  <si>
    <t>"The German Armed Forces have awarded EuroSpike GmbH, a joint venture between Rheinmetall and its partners Diehl Defence and Rafael, another contract to supply the modern MELLS anti-tank guided missile systems. 666 guided missiles and 82 weapon systems were called up from the existing framework agreement. The contract is worth around EUR 88 million. Rheinmetall will supply key components to Eurospike, the manufacturer of the multi-role lightweight guided missile systems (MELLS). For Rheinmetall, this contract represents a net order intake of around EUR 17 million. Delivery will take place between 2022 and 2024."</t>
  </si>
  <si>
    <t>DE23_a</t>
  </si>
  <si>
    <t>Multi-role lightweight guided missile (MELLS)</t>
  </si>
  <si>
    <t>DE23_b</t>
  </si>
  <si>
    <t>Multi-role lightweight guided missile system (MELLS)</t>
  </si>
  <si>
    <t>DE24</t>
  </si>
  <si>
    <t>Kodiak engineer vehicle</t>
  </si>
  <si>
    <t>https://www.bmvg.de/de/aktuelles/grosse-schritte-beschaffung-bundeswehr-5051262</t>
  </si>
  <si>
    <t>https://www.rheinmetall.com/de/media/news-watch/news/2021/2021-05-12_rheinmetalls-kodiak-wird-neuer-pionierpanzer-der-bundeswehr</t>
  </si>
  <si>
    <t>"The Bundeswehr wants to purchase a total of 44 armored pioneer machines for around 295 million euros. The tracked vehicles based on the Leopard 2 A4 main battle tank have a clearing blade and a working arm. Pioneers can use them to build positions, repair roads and paths, or build fords and crossing points across bodies of water. The new armored engineer vehicles are intended to replace the Dachs engineer tank, which has been in use since 1989."</t>
  </si>
  <si>
    <t>"The contract also includes some additional services for training and logistics required for commissioning and use, such as training courses and resources, documentation, measuring and testing equipment, initial replacement parts and special tools."</t>
  </si>
  <si>
    <t>DE25</t>
  </si>
  <si>
    <t>Sea Falcon helicopter drone system for Class K130 corvette</t>
  </si>
  <si>
    <t>ESG Elektroniksystem- und Logistik</t>
  </si>
  <si>
    <t>IABG</t>
  </si>
  <si>
    <t>UMS Skeldar Sweden</t>
  </si>
  <si>
    <t>CUONICS</t>
  </si>
  <si>
    <t>https://esut.de/2021/04/meldungen/26721/aufklaerungsdrohnen-fuer-die-korvette-k130/</t>
  </si>
  <si>
    <t>"In order to be able to detect and identify surface contacts, two K130-class corvettes of the German Navy will receive a drone system. The procurement of the new helicopter drones for around 78 million euros will be divided into two phases: In a pilot phase, the drones will be adapted to the needs of the Bundeswehr and a subsystem consisting of two aircraft and a ground control station will be delivered and installed for the corvette. In the subsequent series phase, two further subsystems - one of them for training including a simulator component - as well as three additional equipment kits that enable the installation of the ground control stations and the operation of the drones on board the three remaining corvettes will be procured."</t>
  </si>
  <si>
    <t>DE26</t>
  </si>
  <si>
    <t>Airbus EC135 rental</t>
  </si>
  <si>
    <t>ADAC Aviation Technology</t>
  </si>
  <si>
    <t>https://www.welt.de/wirtschaft/article230633247/Ausruestungsmangel-Bundeswehr-muss-Hubschrauber-vom-ADAC-mieten.html</t>
  </si>
  <si>
    <t>"In order to further increase the professionalism of helicopter pilots in the army after basic flying training in the transition to operational types, the Bundeswehr wants [to rent] seven Airbus EC 135 helicopters from ADAC Aviation Technology. The contract worth around 63 million euros, which runs until the end of 2024, includes up to 5,440 flight hours per year as well as all maintenance and repair work."</t>
  </si>
  <si>
    <t>DE27</t>
  </si>
  <si>
    <t>Tornado radar warning system</t>
  </si>
  <si>
    <t>Panavia Aircraft</t>
  </si>
  <si>
    <t>https://esut.de/2021/05/meldungen/27447/waffensystem-tornado-modernisiert/</t>
  </si>
  <si>
    <t>"Since there will no longer be any spare parts for the existing system in the medium term, the Air Force's Tornados will receive a new radar warning system for around 105 million euros. The system detects, locates, identifies and classifies land, air and sea-based radar emitters and warns of incoming radar-guided missiles. This makes it vital for the Tornado's crew to survive in a threat scenario. The contract includes the replacement of radar warning system components with higher performance processors. Additional interfaces and connections are intended to relieve the existing data connections to the Tornado's avionics structure."</t>
  </si>
  <si>
    <t>DE28</t>
  </si>
  <si>
    <t>IT equipment container</t>
  </si>
  <si>
    <t>"For the ability of VJTF [Very High Readiness Joint Task Force] by 2023 , the Bundeswehr plans to deploy containers with IT-Systems for around 59 million euros. The containers can be used and moved independently. The equipment enables participation in standardized processes of NATO and EU as part of the military intelligence system and supports a wide range of staff functions."</t>
  </si>
  <si>
    <t>DE29</t>
  </si>
  <si>
    <t>Eurodrone</t>
  </si>
  <si>
    <t>Eurodrone development</t>
  </si>
  <si>
    <t>Dassault</t>
  </si>
  <si>
    <t>Leonardo</t>
  </si>
  <si>
    <t>https://www.bmvg.de/de/aktuelles/entwicklung-eurodrohne-schreitet-voran-5051260</t>
  </si>
  <si>
    <t>https://euro-sd.com/2021/04/articles/exclusive/22356/important-step-towards-eurodrone/</t>
  </si>
  <si>
    <t>https://www.bmvg.de/de/aktuelles/europaeische-drohne-bis-2025-11586</t>
  </si>
  <si>
    <t>"With the release of around 3.1 billion euros by the Budget Committee of the German Bundestag, Germany will be one of four programme nations to declare its willingness to sign. After the completion of the national approval processes in France, Italy and Spain, the way is clear for the European MALE [Medium Altitude Long Endurance] RPAS [Remotely Piloted Aircraft System]."</t>
  </si>
  <si>
    <t>"The German share of the project includes 21 unmanned and weapon-capable aircraft and the ground control stations required for operation as “cockpits on the ground”. In addition, there will be training and other operating equipment as well as support services from industry for the five-year initial flight operation."</t>
  </si>
  <si>
    <t>"The contract is to cover the development of the EURODRONE, the production of 60 aircraft and 40 ground stations (cockpits on the ground) and operational support for the first five years. Germany will receive 21 aircraft, France eight, Italy 16 and Spain 15."</t>
  </si>
  <si>
    <t>DE30</t>
  </si>
  <si>
    <t>MIKRON night vision device</t>
  </si>
  <si>
    <t>Hensoldt Optronics</t>
  </si>
  <si>
    <t>Theon Sensors</t>
  </si>
  <si>
    <t>Greece</t>
  </si>
  <si>
    <t>https://www.bmvg.de/de/aktuelles/vjtf-erhaelt-5-000-bildverstaerkerbrillen-5059582</t>
  </si>
  <si>
    <t>https://www.bundeswehr.de/resource/blob/5467372/4ec38e3145a39f5c70e7c841ea8c6cbd/20-20-000-nachtsichtbrillen-aus-sondervermoegen-fuer-die-bundeswehr-data.pdf</t>
  </si>
  <si>
    <t>https://esut.de/2021/06/meldungen/28107/occar-beschafft-nachtsichtbrillen/</t>
  </si>
  <si>
    <t>"The Bundeswehr can now purchase 5,000 image intensifier glasses to equip the German parts of NATO’s Rapid Reaction Force (VJTF). Procurement is carried out via the Joint Organization for Armaments Cooperation OCCAR. Infantry forces use image intensifier goggles for basic night vision. This means they can orientate themselves at night, move around, observe, reconnaissance and lead the battle. Drivers can use the stereoscopic view to move their vehicles safely even at night and with limited visibility. If additional budget funds can be made available, the contract offers the possibility of purchasing up to 20,000 additional image intensifier glasses as an option."</t>
  </si>
  <si>
    <t>DE31</t>
  </si>
  <si>
    <t>CH-53 GS/GE helicopter electronic protection equipment</t>
  </si>
  <si>
    <t>Airbus Helicopters Deutschland</t>
  </si>
  <si>
    <t>https://esut.de/2021/05/meldungen/27664/obsoleszenzbeseitigung-hubschraub/</t>
  </si>
  <si>
    <t>https://esut.de/2021/07/meldungen/28384/selbstschutzsystem-der-ch-53gs-ge/</t>
  </si>
  <si>
    <t>"14 CH-53 GS/GE helicopters are now receiving improved electronic protection equipment. Spare parts are no longer available for the previously used radar, laser, missile warning system and decoy launch system subsystems. They are therefore replaced by modern systems. The electronic protective equipment is used to protect the helicopter and the crew from infrared, radar or laser-guided missiles. If necessary, a further twelve helicopters can be converted. The CH-53 are to be replaced by the new heavy transport helicopter by 2030."</t>
  </si>
  <si>
    <t>DE32</t>
  </si>
  <si>
    <t>Modern infrastructure for HIL location</t>
  </si>
  <si>
    <t>https://www.bmvg.de/de/presse/investitionen-in-die-zukunft-des-hil-werkes-in-st-wendel-5074046</t>
  </si>
  <si>
    <t>https://www.bmvg.de/de/presse/bundeswehr-staerkt-den-lausitzer-standort-des-hil-werkes-5085358</t>
  </si>
  <si>
    <t>"The German Armed Forces are planning to invest up to 42 million euros in modern infrastructure at the St. Wendel site over the next ten years. Existing jobs will be secured in the long term and up to 160 new jobs will be created. HIP GmbH and the Bundeswehr will remain permanently rooted in the region and make its contribution as a reliable partner of the local economy and as part of local society."</t>
  </si>
  <si>
    <t>DE33</t>
  </si>
  <si>
    <t>TCK 9 fuel tank container</t>
  </si>
  <si>
    <t>Gocher Fahrzeugbau</t>
  </si>
  <si>
    <t>https://www.bmvg.de/de/aktuelles/neue-tankcontainer-bodenradare-und-zusaetzliche-bekleidung-5084470</t>
  </si>
  <si>
    <t>https://esut.de/2022/05/meldungen/33956/bundeswehr-erhaelt-120-mobile-tankeinrichtungen/</t>
  </si>
  <si>
    <t>"For around 29 million euros, the German army can purchase up to 200 containers ISO 20 feet, fuel 9 cubic meters (TCK 9) over the next seven years. The tank containers are used to supply fuel worldwide in urban and difficult-to-access areas. The first TCK 9 are to be delivered in the VJTF will be deployed in 2023. They consist of a tank body and a fuel pump system with integrated power generator in a 20-foot ISO frame. The tank containers are equipped with all-terrain trucks. They are used in the 15 tonne load class and are also approved as storage containers. Two consumers such as vehicles or power generators can be refuelled at the same time."</t>
  </si>
  <si>
    <t>DE34</t>
  </si>
  <si>
    <t>Ground-based reconnaissance and area surveillance system (BARÜ)</t>
  </si>
  <si>
    <t>https://www.bundeswehr.de/resource/blob/5095138/dd2c68fd02db7eb95d619f80c6073689/10-generationswechsel-bei-mobilen-radargeraeten-der-bundeswehr-data.pdf</t>
  </si>
  <si>
    <t>"The German army can now purchase radar equipment for around 36 million euros for reconnaissance and surveillance of large areas on the ground. The new systems are intended to replace the ground radar equipment previously used. The ground-based reconnaissance and area surveillance system (BARÜ) gives the army the ability to reconnaissance and surveillance of large areas during the day, at night and even in adverse weather conditions. The BARÜ can be used independently and is compatible with the artillery troops' command and weapon deployment system ADLER III (artillery, data, situation and deployment computer network) via a data interface."</t>
  </si>
  <si>
    <t>"On June 8, 2021, the Federal Office of Bundeswehr Equipment, Information Technology and In-Service Support (BAAINBw) signed a contract with ESG Elektroniksystem- und Logistik-GmbH for the manufacture and delivery of a total of 69 mobile radar systems. Delivery of the systems is scheduled to begin in early 2022 and be completed by mid-2024. The contract, worth around 36 million euros, also includes additional services such as training courses, training materials and initial spare parts requirements."</t>
  </si>
  <si>
    <t>DE35</t>
  </si>
  <si>
    <t>CPE</t>
  </si>
  <si>
    <t>Clothing and personal equipment - contract extension (2 years)</t>
  </si>
  <si>
    <t>https://www.presseportal.de/pm/147341/4951784</t>
  </si>
  <si>
    <t>https://hardthoehenkurier.de/bundeswehr-investiert-weiter-in-bekleidung-und-persoenliche-ausruestung/</t>
  </si>
  <si>
    <t>"The amendment agreement will commission additional clothing purchases between 2021 and 2023 in order to equip soldiers with modern clothing and personal equipment. This expansion includes a number of item segments, such as combat backpacks and fire protection clothing."</t>
  </si>
  <si>
    <t>DE36</t>
  </si>
  <si>
    <t>IT services expansion</t>
  </si>
  <si>
    <t>https://www.bundeswehr.de/resource/blob/5096528/fbde9f60613b7a071ad1986372186119/11-bundeswehr-stellt-it-kapazitaeten-zukunftssicher-auf-data.pdf</t>
  </si>
  <si>
    <t>https://esut.de/2021/06/meldungen/27940/leistungserweiterung-bwi-it-servic/</t>
  </si>
  <si>
    <t>"The Bundeswehr is also changing the service contract with its in-house IT-Society BWI GmbH. For around 2.2 billion euros, BWI is to invest further [in] IT-Services, for example in the field of digital training and the Bundeswehr's "private cloud", new mobile and highly mobile IT-Procure equipment and take measures to increase the resilience of the Bundeswehr – for example by further expanding mobile working. In addition, the digitization of the Bundeswehr’s health care system is to be advanced and the IT-Support for the Bundeswehr's geoinformation service will be made future-proof. The extensive expansion of services is made possible by the Federal Government's economic stimulus, crisis management and future package."</t>
  </si>
  <si>
    <t>"The Federal Office of Bundeswehr Equipment, Information Technology and In-Service Support (BAAINBw) recently signed a contract with the IT in-house company BWI GmbH to expand the range of existing IT services for around 2.2 billion euros. This contract, which runs until December 31, 2027, ensures the continuous development of the Bundeswehr's non-military information and communications technology."</t>
  </si>
  <si>
    <t>DE37</t>
  </si>
  <si>
    <t>Poseidon</t>
  </si>
  <si>
    <t>P-8A Poseidon</t>
  </si>
  <si>
    <t>https://www.bmvg.de/de/aktuelles/modernisierung-der-streitkraefte-rund-19-milliarden-freigegeben-5099070</t>
  </si>
  <si>
    <t>https://www.bmvg.de/de/presse/bundesrepublik-deutschland-kauft-fuenf-p-8a-poseidon-5102338</t>
  </si>
  <si>
    <t>https://www.bundeswehr.de/de/organisation/marine/aktuelles/deutschland-bestellt-seefernaufklaerer-p8a-poseidon-5102350</t>
  </si>
  <si>
    <t>"Defense Minister Kramp-Karrenbauer held a meeting with US Defense Secretary Austin on Wednesday and expressed her joy that the purchase of five P-8A Poseidon aircraft for the Bundeswehr can be initiated. Secretary Austin welcomed this decision. After the Budget Committee approved the purchase last week, the Foreign Military Sales process (FMS Case) was initiated and a contract was signed. This procurement, with a financial volume of around 1.1 billion euros, serves to ensure the essential,  uninterrupted maintenance of the capability for long-range maritime reconnaissance and long-range, air-based submarine hunting. In addition to the five aircraft, the contract also includes the associated mission and communications equipment, an initial supply of spare parts and accessories, ground testing equipment and special tools, a mission support system and technical and logistical support."</t>
  </si>
  <si>
    <t>DE38</t>
  </si>
  <si>
    <t>FCAS</t>
  </si>
  <si>
    <t>Future Combat Air System project - contract extension (7 years)</t>
  </si>
  <si>
    <t>https://www.bmvg.de/de/aktuelles/investitionen-in-die-luftwaffe-der-zukunft-5099108</t>
  </si>
  <si>
    <t>https://www.defensenews.com/global/europe/2019/11/26/spains-indra-claims-lead-in-eu-electronic-warfare-push-for-future-aircraft/</t>
  </si>
  <si>
    <t>"In the Future Combat Air System project (FCAS), the Budget Committee's decision to conclude a further government agreement and supplementary contracts worth around 4.4 billion euros by 2027 paved the way for the continuation of arms cooperation with France and Spain from autumn 2021."</t>
  </si>
  <si>
    <t>DE39</t>
  </si>
  <si>
    <t>PEGASUS reconnaissance system</t>
  </si>
  <si>
    <t>Lufthansa Technik</t>
  </si>
  <si>
    <t>Bombardier</t>
  </si>
  <si>
    <t>Canada</t>
  </si>
  <si>
    <t>https://www.flugrevue.de/militaer/milliardenauftrag-an-hensoldt-sigint-flugzeug-pegasus-fuer-die-bundeswehr/</t>
  </si>
  <si>
    <t>https://www.sueddeutsche.de/bayern/taufkirchen-hensoldt-fuer-bundeswehr-aufklaerungssystem-pegasus-beauftragt-dpa.urn-newsml-dpa-com-20090101-210630-99-201517</t>
  </si>
  <si>
    <t>"With the project PEGASUS (Persistent German Airborne Surveillance System), the Bundeswehr will once again be able to carry out signal-detecting, airborne, long-range surveillance and reconnaissance. The Pegasus reconnaissance system consists of three Bombardier Global 6000 aircraft as a carrier platform. This is equipped with sensors for signal-detecting reconnaissance. The mission system is used for telecommunications and electronic reconnaissance. The overall package also includes a training system and a reference system. With this second system, errors can be localized and new software applications can be tested. The 25 million euro proposal will enable the procurement of the aircraft and the fitting of high-tech components into the aircraft. The project, with a financial volume of around 1.54 billion euros, secures and promotes the maintenance of competence in national key technologies in accordance with the federal government's strategy paper to strengthen the security and defense industry."</t>
  </si>
  <si>
    <t>DE40</t>
  </si>
  <si>
    <t>Large-area air surveillance radar</t>
  </si>
  <si>
    <t>ELTA Systems</t>
  </si>
  <si>
    <t>https://www.hensoldt.net/de/news/hensoldt-wins-contract-for-german-airspace-surveillance/</t>
  </si>
  <si>
    <t>https://www.bundeswehr-journal.de/2021/bundeswehr-modernisiert-ihre-luftraumueberwachung/</t>
  </si>
  <si>
    <t>"The approved procurement of four large-area air surveillance radars, which also have the ability to detect ballistic missiles for the first time, will replace the outdated Hughes Air Defense radars purchased in the 1980s. This allows security in German airspace to be part of the integrated NATO-Air defense will continue to be guaranteed in the future."</t>
  </si>
  <si>
    <t>DE41</t>
  </si>
  <si>
    <t>Modular container-based air traffic control system</t>
  </si>
  <si>
    <t>steep</t>
  </si>
  <si>
    <t>https://esut.de/2021/07/meldungen/28608/luftverladbare-flugsicherung/</t>
  </si>
  <si>
    <t>https://www.bundeswehr-journal.de/2021/luftverladbare-flugsicherungsanlage-fuer-die-bundeswehr/</t>
  </si>
  <si>
    <t>"By procuring a modular container-based air traffic control system that can be transported by air, the Bundeswehr will be able to build and operate a self-sufficient airfield in a country of operation - especially in locations where a flight operations infrastructure is not available. This creates the opportunity to ensure military flight operations both for on-site operations and for connections to the home country."</t>
  </si>
  <si>
    <t>"In order to be able to set up and operate a military airfield regardless of the lack of or inadequate flight operations infrastructure, the Bundeswehr is receiving an air-transportable air traffic control system. The Federal Office of Bundeswehr Equipment, Information Technology and In-Service Support (BAAINBw) has commissioned the companies steep and ESG Elektroniksystem- und Logistik Gesellschaft to manufacture such a system and to deliver it from 2023. Training of air traffic controllers and technical maintenance personnel is then to begin, according to a statement from the BAAINBw. The system and personnel are to be ready for use from 2026. The total cost is estimated at 67 million euros."</t>
  </si>
  <si>
    <t>DE42</t>
  </si>
  <si>
    <t>Class424</t>
  </si>
  <si>
    <t>Class 424 fleet service ship</t>
  </si>
  <si>
    <t>https://www.bmvg.de/de/aktuelles/umfangreiche-beschaffungen-fuer-die-deutsche-marine-5099106</t>
  </si>
  <si>
    <t>https://augengeradeaus.net/2021/06/luerssen-baut-neue-flottendienstboote-marine-soll-neue-aufklaerungsschiffe-ab-2027-bekommen/</t>
  </si>
  <si>
    <t>https://euro-sd.com/2023/07/news/32819/type-424-fleet-service-ships-germany-tests-a-new-procurement-model/</t>
  </si>
  <si>
    <t>"Sea-based signal reconnaissance is an elementary prerequisite for national analysis, assessment and leadership capabilities. It provides an indispensable and continuous contribution to an interdepartmental situation report. The Bundeswehr is therefore purchasing three fleet service boats of the new Class 424 as well as a training and reference system for reconnaissance. The new boats are intended to replace the previous fleet service boats “Oker”, “Alster” and “Oste”."</t>
  </si>
  <si>
    <t xml:space="preserve">Note: Initial cost of the 3 ships in June 2021 was 2.1 billion EUR (see DE42). In July 2023, the total cost was increased to 3.26 billion EUR (see DE112). The difference between the two equals 1.16 billion EUR and is attributed to a contract amendment (DE112). </t>
  </si>
  <si>
    <t>DE43</t>
  </si>
  <si>
    <t>Class 707 fuel transporter ship</t>
  </si>
  <si>
    <t>Meyer Werft Group</t>
  </si>
  <si>
    <t>https://esut.de/2021/07/meldungen/28416/neue-betriebsstoffversorger-unter-vertrag/</t>
  </si>
  <si>
    <t>https://www.bundeswehr.de/de/aktuelles/meldungen/neue-tankschiffe-marine-5663908</t>
  </si>
  <si>
    <t>"The Navy will receive two new fuel supply vessels of the new Class 707 to replace the two fuel transport vessels of the Class 704 (“Rhön” and “Spessart”), which have been in use since 1977. The approved project includes the design and construction of the new Class 707. In addition, services to ensure supply readiness include initial spare parts, special tools and training. Germany has [notified] NATO [that the two ships can] provide fuel supply capability to allied navies continuously until 2040."</t>
  </si>
  <si>
    <t>DE44</t>
  </si>
  <si>
    <t>U212 Common Design submarine</t>
  </si>
  <si>
    <t>thyssenkrupp Marine Systems</t>
  </si>
  <si>
    <t>Norway</t>
  </si>
  <si>
    <t>https://www.bundeswehr.de/resource/blob/5109066/e3a362cf0b87ca7cb68b3f8a41e607ff/20-beschaffung-zweier-u-boote-fuer-die-bundeswehr-unter-vertrag-data.pdf</t>
  </si>
  <si>
    <t>https://esut.de/2021/07/meldungen/see/28286/milliarden-euro-deutsche-marine/</t>
  </si>
  <si>
    <t>"A total of six Class 212 Common Design submarines (U 212 CD) [will be] designed and built. They are based on the existing Class 212 A submarines. The submarines are being procured together with Norway and are also a symbol of the excellent German-Norwegian cooperation. Operations on the northern flank of NATO and the preservation of materials should be carried out jointly in the future. On the basis of identical boats, a new dimension of cooperation is achieved. The new submarine class, initially with two boats for Germany, is a prerequisite for maintaining the key technology of naval shipbuilding and underwater seafaring."</t>
  </si>
  <si>
    <t>"Two submarines of the 212 Common Design (U212 CD) class from the joint program with Norway. Norway is procuring four boats, Germany two. The 2021 federal budget earmarks two billion euros for the two boats of the German Navy."</t>
  </si>
  <si>
    <t>DE45</t>
  </si>
  <si>
    <t>Naval Strike Missile (NSM) Block 1A missile</t>
  </si>
  <si>
    <t>MBDA</t>
  </si>
  <si>
    <t>Kongsberg</t>
  </si>
  <si>
    <t>https://www.bmvg.de/de/presse/einigung-projekt-u212-common-design-u212cd-5044700</t>
  </si>
  <si>
    <t>https://esut.de/en/2021/07/meldungen/28450/nsm-seeziel-lenkflugkoerper/</t>
  </si>
  <si>
    <t>"The Naval Strike Missile (NSM) Block 1A weapon system is a long-range anti-ship missile system and is intended to be used by the Navy in the future on frigates of the 124, 125 and 126 classes. It replaces the Harpoon guided missile system, which has reached the end of its useful life, and can also be used in a secondary role against land targets. Procurement is carried out by Norway as the lead nation on the basis of the German-Norwegian naval armaments cooperation."</t>
  </si>
  <si>
    <t>"At the same time, agreement was reached on the final modalities of the Naval Strike Missile Block project. The procurement of these anti-ship missiles is linked to the submarine project in the portfolio of the German-Norwegian naval armament cooperation. The agreements reached represent a significant step forward in both projects."</t>
  </si>
  <si>
    <t>"Germany and Norway are not only working closely together on the construction of the new U212CD submarine, but also on the procurement of new anti-ship missiles. On July 8, 2021, the Federal Office for Equipment, Information Technology and Use of the German Armed Forces and the Norwegian procurement agency Forsvarsmateriell agreed on this cooperation for the joint procurement of new Naval Strike Missile (NSM) Block 1A anti-ship missile systems. The Norwegian Kongsberg was commissioned to deliver the missiles developed jointly with MBDA for the German and Norwegian naval forces. Kongsberg gives the contract value at 425 million euros."</t>
  </si>
  <si>
    <t>DE46</t>
  </si>
  <si>
    <t>Future Naval Strike Missile development</t>
  </si>
  <si>
    <t>"In a further step, a German-Norwegian joint development of a new anti-ship guided missile system Future Naval Strike Missile is planned. This development project is an independent project and offers the opportunity to achieve urgently needed skills with the participation of German industry."</t>
  </si>
  <si>
    <t>DE47</t>
  </si>
  <si>
    <t>Puma Retrofit</t>
  </si>
  <si>
    <t>Puma (retrofit)</t>
  </si>
  <si>
    <t>Krauss-Maffei Wegmann</t>
  </si>
  <si>
    <t>https://www.rheinmetall.com/de/media/news-watch/news/2021/2021-06-29_milliardenauftrag-fuer-rheinmetall</t>
  </si>
  <si>
    <t>"With the consolidated upgrade, the Puma infantry fighting vehicle is almost fully operational and can completely replace its outdated predecessor, the Marder. The package of measures includes a number of improvements, such as an increase in command capability through modern radio equipment. In addition, the command information system is being adapted as a basis for networked operations. In addition, the visual aids are being improved. The integration of the MELLS weapon system (multi-role lightweight guided missile system) for combating highly protected targets is being implemented. The approved measures also include preparations for connecting the turret-independent secondary weapon system. In addition, a wide range of improvements will be implemented in terms of reliability, system stability, overall system interfaces and harmonization of construction stages. The overall package also includes spare parts, tools and documentation. The contract initially provides for the retrofitting of 154 and optionally up to 143 additional Pumas."</t>
  </si>
  <si>
    <t>DE48</t>
  </si>
  <si>
    <t>Boxer Joint Fire Support Team (JFSTsw) prototype</t>
  </si>
  <si>
    <t>https://www.bundeswehr-journal.de/2021/beschaffungsagentur-occar-gibt-boxer-jfstsw-in-auftrag/</t>
  </si>
  <si>
    <t>https://www.occar.int/news/new-contract-was-signed-to-develop-a-new-boxer-vehicle-known-as-joint-fire-support-team</t>
  </si>
  <si>
    <t>"The Joint Fire Support Team, heavy (JFSTsw) mission module is a capability enhancement measure for joint tactical fire support. The aim is to support the troops with the most suitable land, air or sea-based German or Allied fire from artillery or airborne systems. The JFSTsw module is based on the Boxer carrier platform and is a complementary system to the system already introduced into the armed forces on the Fennek wheeled armored vehicle. The mission module coordinates the fire of these ground-based systems and the use of the army's combat helicopters, as well as the air force and navy's weapons. All of these systems are an essential element of the armed forces' networked operations. The development of the JFSTsw was approved, with a demonstration model to be produced on two vehicles initially."</t>
  </si>
  <si>
    <t>"On September 6, the Bonn-based European procurement agency OCCAR awarded an armaments contract worth around 70 million euros for the development of a new Boxer variant with a mission module for so-called "Joint Fire Support Teams" (JFST). As OCCAR explained in a press release, the contract for the Bundeswehr vehicles includes the development and delivery of two prototypes plus a Boxer reference system for test and trial series. The contractor is ARTEC GmbH, based in Munich, a joint venture founded in 1999 by the armaments companies Krauss-Maffei Wegmann and Rheinmetall. ARTEC coordinates series production and serves as the contact point for all export questions relating to the Boxer."</t>
  </si>
  <si>
    <t>DE49</t>
  </si>
  <si>
    <t>Special forces vehicle (reconnaissance, combat, tactical support)</t>
  </si>
  <si>
    <t>Defenture</t>
  </si>
  <si>
    <t>https://www.bundeswehr.de/resource/blob/5207002/b14b409ecf7dba49dcde8bda0bc752a7/29-erneuerung-der-fahrzeugflotte-fuer-spezialkraefte-data.pdf</t>
  </si>
  <si>
    <t>https://esut.de/2021/08/meldungen/ruestung2/29049/defenture-fahrzeuge-spezialkraefte/</t>
  </si>
  <si>
    <t>"The Special Forces Command is receiving new reconnaissance, combat and support vehicles. The vehicles are intended for use in crisis and conflict areas and for protecting the company's own forces at a distance. They are also used to protect people in special situations, to rescue and free German citizens or other people and to cooperate in training support for various countries. The intention is to conclude a contract for the development, manufacture and delivery of up to 80 vehicle systems with a term of twelve years and a firm order for four vehicles as proof of concept."</t>
  </si>
  <si>
    <t>"The Federal Office of Bundeswehr Equipment, Information Technology and In-Service Support (BAAINBw) has signed a framework agreement with Defenture, a Dutch manufacturer of special forces vehicles, for the development and delivery of a mission-specific, adaptable vehicle family for the Bundeswehr's special forces, as the Armaments Office announced. The relevant committees of the Bundestag had already released the necessary budget funds at the end of June. "The agreement enables the procurement of up to 80 vehicles of the types 'Medium Reconnaissance and Combat Vehicle for Special Forces' (AGF 2) and 'Medium Tactical Support Vehicle for Special Forces Command' (UFK)," the BAAINBw said in a statement."</t>
  </si>
  <si>
    <t>DE50</t>
  </si>
  <si>
    <t>Secure Inter- Network Architecture (SINA) - contract extension (4 years)</t>
  </si>
  <si>
    <t>Secunet Security Networks</t>
  </si>
  <si>
    <t>https://www.bundeswehr.de/resource/blob/5100260/4f7f9a79657a1fa6c42c7f4cd7cce246/15-sicheres-arbeiten-im-buero-und-von-zuhause-bundeswehr-investiert-weiter-in-it-sicherheit-data.pdf</t>
  </si>
  <si>
    <t>https://esut.de/2021/06/meldungen/28283/rahmenvertrag-sina-verlaengert/</t>
  </si>
  <si>
    <t>"The Secure Inter- Network Architecture (SINA) is part of a product family in the field of information security technology that provides encryption functions for the secure communication and storage of information up to the classification "secret". The Bundeswehr's SINA framework agreement contains additions regarding the Bundeswehr's special requirements for logistics, technical operational capability or retrieval authorizations. SINA products are currently used in around 90 projects in the business area of ​​the Federal Ministry of Defense as well as in important main weapon or command information systems such as the Class 125 frigate. With the help of the new SINA framework agreement, the Bundeswehr can continue to meet SINA needs quickly and efficiently."</t>
  </si>
  <si>
    <t>DE51</t>
  </si>
  <si>
    <t>Protected ambulance (GVTC)</t>
  </si>
  <si>
    <t>Drehtainer</t>
  </si>
  <si>
    <t>Binz Automotive</t>
  </si>
  <si>
    <t>https://www.bundeswehr-journal.de/2021/geschuetzte-container-fuer-den-verwundetentransport/</t>
  </si>
  <si>
    <t>https://esut.de/2021/07/meldungen/28373/container-verwundetentransport/</t>
  </si>
  <si>
    <t>"With the approval of two contracts, capabilities in the area of ​​casualty transport have been significantly expanded. Firstly, the development and procurement of protected casualty transport containers has been approved. These enable the protected transport of injured or wounded personnel who have to be transferred between different treatment facilities during operations."</t>
  </si>
  <si>
    <t>"The German Armed Forces are to receive twelve protected casualty transport containers (GVTCs) between 2024 and 2026. The Federal Office of Bundeswehr Equipment, Information Technology and In-Service Support (BAAINBw) initiated the conclusion of a corresponding contract with the company Airbus on July 1. According to the Koblenz Procurement Office, the procurement project has a financial volume of around 39 million euros."</t>
  </si>
  <si>
    <t>DE52</t>
  </si>
  <si>
    <t>Unprotected, all-terrain ambulance</t>
  </si>
  <si>
    <t>Iveco Magirus</t>
  </si>
  <si>
    <t>Binz Ambulance- und Umwelttechnik</t>
  </si>
  <si>
    <t>https://www.bundeswehr.de/resource/blob/5202774/0fe4d4cf94943286ea1f1aa861944759/24-neue-fahrzeuge-fuer-den-verwundetentransport-data.pdf</t>
  </si>
  <si>
    <t>https://esut.de/2021/07/meldungen/28602/fahrzeuge-fuer-sanitaetstruppe/</t>
  </si>
  <si>
    <t>"The procurement of unprotected, all-terrain casualty transport vehicles was also approved with a framework contract from which up to 500 vehicles can be called up. They are intended to ensure medical care and the transport of patients even off paved roads and paths. They replace the outdated ambulances."</t>
  </si>
  <si>
    <t>"In a framework contract, the Federal Office of Bundeswehr Equipment, Information Technology and In-Service Support (BAAINBw) has agreed to supply up to 500 unprotected, all-terrain casualty transport vehicles (Lkw UVT gl). The contract with the manufacturer IVECO Magirus AG has a term of 15 years, as the BAAINBw announced. This will replace the approximately 40-year-old ambulances (KrKw) and mobile medical teams (BAT) based on the two-ton Unimog. In the first firmly ordered tranche, IVECO Magirus will deliver 294 vehicles with a medical box body including medical equipment and accessories for 244 million euros. The first UVT trucks are to be delivered to the German armed forces in 2022 and, after successful verification, will also be available to the troops from the beginning of 2023. This first tranche is to be fully delivered by 2027, according to the BAAINBw announcement."</t>
  </si>
  <si>
    <t>DE53</t>
  </si>
  <si>
    <t>Class123</t>
  </si>
  <si>
    <t>Class 123 frigate radar and weapons system modernisation</t>
  </si>
  <si>
    <t>Abeking &amp; Rasmussen</t>
  </si>
  <si>
    <t>Australia</t>
  </si>
  <si>
    <t>https://esut.de/2021/07/meldungen/ruestung2/28782/saab-modernisiert-fregatten-f123/</t>
  </si>
  <si>
    <t>https://www.bundeswehr-journal.de/2021/saab-mit-der-modernisierung-der-fregatten-f123-beauftragt/</t>
  </si>
  <si>
    <t>"Ensuring the operational availability of the Class 123 frigates"</t>
  </si>
  <si>
    <t>"On July 30, the Federal Office of Bundeswehr Equipment, Information Technology and In-Service Support (BAAINBw) signed the first contracts for the modernization of the tactical radar and fire control systems of the Brandenburg-class frigates (F123) of the German Navy with the Swedish contractor Saab AB. These measures are intended to ensure the operational readiness of the ships until 2035."</t>
  </si>
  <si>
    <t>"The frigates of the "Brandenburg" class (F123) are being modernized. The four ships of the German Navy will receive, among other things, new tactical radar and fire control systems. The Federal Office of Bundeswehr Equipment, Information Technology and In-Service Support (BAAINBw) signed a corresponding contract with the Swedish defense company Saab AB yesterday (30 July)."</t>
  </si>
  <si>
    <t>DE54</t>
  </si>
  <si>
    <t>Repair equipment for RBS15 Mk3 missile</t>
  </si>
  <si>
    <t>https://www.bundeswehr-journal.de/2021/lenkflugkoerper-rbs15-mk3-marine-prueft-ab-2025-selbst/</t>
  </si>
  <si>
    <t>https://esut.de/2021/07/meldungen/28346/seeziel-lenkflugkoerper-rbs15-mk3/</t>
  </si>
  <si>
    <t>"Repair equipment for RBS 15 MK3 missiles"</t>
  </si>
  <si>
    <t>"The Ammunition Supply Center North - with the Laboe ammunition depot - is to be expanded to include its own maintenance capacity for the inspection, recertification and overhaul of the RBS15Mk 3 anti-ship missiles. For this purpose, the Federal Office of Bundeswehr Equipment, Information Technology and In-Service Support has now commissioned Diehl Defence GmbH &amp; Co. KG to supply recertification and repair equipment for - In September 2020, the Koblenz-based Federal Office ordered a further 75 RBS15 (Robot System 15) Mk3 anti-ship missiles, which are to be delivered from 2023."</t>
  </si>
  <si>
    <t>DE55</t>
  </si>
  <si>
    <t>Class 124 frigate radar system</t>
  </si>
  <si>
    <t>Hensoldt Sensors</t>
  </si>
  <si>
    <t>https://www.bundeswehr.de/resource/blob/5212298/5dc442dc203d1d3d077345edbb8f9bc4/30-modernisierung-der-radaranlagen-der-fregatten-f124-data.pdf</t>
  </si>
  <si>
    <t>"Obsolescence elimination of the long-range sensors of the Class 124 frigates"</t>
  </si>
  <si>
    <t>"On August 23, 2021, the Federal Office of Bundeswehr Equipment, Information Technology and In-Service Support (BAAINBw) signed a contract with Hensoldt Sensors GmbH for the manufacture, delivery and installation of four radar systems for the Sachsen-class frigates (F124) with an order value of around 220 million euros. In addition, the necessary training services and the creation of supply readiness were agreed upon upon conclusion of the contract."</t>
  </si>
  <si>
    <t>DE56</t>
  </si>
  <si>
    <t>Seeversuch Küste (SVK) ship</t>
  </si>
  <si>
    <t>Fassmer</t>
  </si>
  <si>
    <t>Lithuania</t>
  </si>
  <si>
    <t>https://www.bundeswehr.de/de/organisation/ausruestung-baainbw/aktuelles/kiellegung-fuer-zwei-neue-svk-boote-der-wtd-71-5460550</t>
  </si>
  <si>
    <t>https://www.bundeswehr-journal.de/2021/zwei-neue-messboote-fuer-die-wtd-71-in-eckernfoerde/</t>
  </si>
  <si>
    <t>"Construction of two test boats “Sea Trial Coast”"</t>
  </si>
  <si>
    <t>"The identical boats cost a total of 95 million euros. They will replace the multi-purpose boats of class 745 “Breitgrund” and “Mittelgrund” from the 1980s, as well as the over 50-year-old anti-barrage weapon test boat “Wilhelm Pullwer”."</t>
  </si>
  <si>
    <t>"The German Military Technical Center for Ships and Naval Weapons, Maritime Technology and Research (WTD 71) in Eckernförde will soon receive two new measuring boats. To this end, the Federal Office of Equipment, Information Technology and In-Service Support signed a contract today (July 22) with Fassmer GmbH &amp; Co. KG, a company based in Berne, Lower Saxony. As a test facility, WTD 71 has a total of nine sea-going vessels with special capabilities. The procurement project that has now been initiated will replace the multi-purpose boats of class 745 "Breitgrund" and "Mittelgrund" after 32 years. After 55 years, the service life of the Class 741 interceptor weapons test boat "Wilhelm Pullwer" has also come to an end."</t>
  </si>
  <si>
    <t>DE57</t>
  </si>
  <si>
    <t>Class MJ332C minehunter command and weapon deployment system IMCMS</t>
  </si>
  <si>
    <t>https://www.bundeswehr-journal.de/2021/minenjagdboote-frankenthal-klasse-werden-modernisiert/</t>
  </si>
  <si>
    <t>"Obsolescence elimination of minehunters class 332C"</t>
  </si>
  <si>
    <t>"Modernization: The minehunters "Dillingen", "Fulda", "Homburg", "Sulzbach-Rosenberg" and "Weilheim" - all boats of the "Frankenthal" class (MJ332) - will receive the most modern version of the IMCMS (Integrated Mine Countermeasures System) command and weapon deployment system between 2022 and 2025. To this end, the Federal Office of Bundeswehr Equipment, Information Technology and In-Service Support (BAAINBw) signed a corresponding contract with the Bremen company Atlas Elektronik GmbH on July 9. According to BAAINBw, the contract volume for this modernization project is around 44 million euros."</t>
  </si>
  <si>
    <t>DE58</t>
  </si>
  <si>
    <t>TETRA digital radio network</t>
  </si>
  <si>
    <t>Motorola Solutions Germany</t>
  </si>
  <si>
    <t>https://www.motorolasolutions.com/newsroom/press-releases/german-navy-invests-in-new-mission-critical-communication-networks-from-mot/deutsche-marine-investiert-in-digitalfunklosung-von-motorola-solutions-zur-.html</t>
  </si>
  <si>
    <t>https://esut.de/2021/09/meldungen/29554/digitalfunksystemen-schiffe-boote/</t>
  </si>
  <si>
    <t>"Communication system for managing the damage control and combat service (SAGD) on board seagoing units"</t>
  </si>
  <si>
    <t>"Motorola is supplying the digital radio networks for the 16 carrier platforms for around 69.9 million euros and integrating the new systems into the Navy's existing IT infrastructure."</t>
  </si>
  <si>
    <t>DE59</t>
  </si>
  <si>
    <t>Radar navigation system for various classes</t>
  </si>
  <si>
    <t>https://marineforum.online/erfolgreiches-manoever-des-letzten-augenblicks/</t>
  </si>
  <si>
    <t>"Radar navigation system for various classes"</t>
  </si>
  <si>
    <t>"Procurement project for radar navigation system for various classes. 39.978 million euros must be spent on 40 on-board units, including preparation for supply readiness."</t>
  </si>
  <si>
    <t>DE60</t>
  </si>
  <si>
    <t>ELCAN Specter DR 1-4x assault rifle sight</t>
  </si>
  <si>
    <t>Leonardo Germany</t>
  </si>
  <si>
    <t>Raytheon-Elcan</t>
  </si>
  <si>
    <t>https://esut.de/2021/10/meldungen/30282/leonardo-liefert-elcan-specter-dr-1-4x-als-neues-bundeswehr-hauptkampfvisier/</t>
  </si>
  <si>
    <t>https://www.hartpunkt.de/leonardo-liefert-neues-hauptkampfvisier/</t>
  </si>
  <si>
    <t>"Sights and laser light modules for the Bw assault rifle system"</t>
  </si>
  <si>
    <t>"The German Armed Forces have commissioned Leonardo Germany GmbH to manufacture and deliver the new main combat sight for the German Armed Forces assault rifles. This was announced today by the company. According to Leonardo, the framework agreement includes the delivery of up to 107,929 sights, with the first deliveries already taking place in the third quarter of 2021. The model selected is the ELCAN Specter DR 1-4x offered by Leonardo. Leonardo and Raytheon-Elcan have entered into a strategic partnership for the offer, with Leonardo as the prime contractor. The optics are manufactured by Raytheon-Elcan in Canada."</t>
  </si>
  <si>
    <t>DE61</t>
  </si>
  <si>
    <t>LLM-VarioRay assault rifle laser light module</t>
  </si>
  <si>
    <t>https://www.rheinmetall.com/de/media/news-watch/news/2021/2021-07-21_rheinmetall-mit-lieferung-von-laser-licht-modulen-fuer-die-bundeswehr-beauftragt</t>
  </si>
  <si>
    <t>https://www.bundeswehr-journal.de/2021/laser-licht-module-fuer-die-deutschen-streitkraefte/</t>
  </si>
  <si>
    <t>"The German Armed Forces has commissioned Rheinmetall to supply laser light modules for the German armed forces. A corresponding framework agreement, which in the long term covers a total of up to 130,000 laser light modules, has now been signed. Initially, 2,460 devices worth EUR 3 million are to be delivered. The framework agreement has the potential to generate orders of up to EUR 178 million for Rheinmetall. This is the largest order in the field of laser light modules that has been booked to date by the manufacturer of the devices, Rheinmetall Soldier Electronics from Stockach on Lake Constance. The framework agreement will initially run for seven years."</t>
  </si>
  <si>
    <t>DE62</t>
  </si>
  <si>
    <t>Adjustable proximity fuse for 155mm artillery round</t>
  </si>
  <si>
    <t>https://augengeradeaus.net/2021/06/rekordverdaechtige-liste-fuer-den-haushaltsausschuss-27-ruestungsprojekte-in-der-letzten-sitzung/</t>
  </si>
  <si>
    <t>https://augengeradeaus.net/2021/06/bundestag-gibt-fast-20-mrd-euro-fuer-ruestungsprojekte-frei-auflagen-unter-anderem-fuer-fcas-und-puma-schuetzenpanzer/</t>
  </si>
  <si>
    <t>"Adjustable proximity fuses for explosive projectiles artillery (155 millimeters)"</t>
  </si>
  <si>
    <t>"Conclusion of a contract for the qualification, manufacture and delivery of proximity fuses, adjustable, for artillery shells (155 mm) – a supplementary procurement of electronically programmable fuses for the shells of the self-propelled howitzer 2000. Financial requirement 52 million euros"</t>
  </si>
  <si>
    <t>DE63</t>
  </si>
  <si>
    <t>SALIS (Strategic Airlift International Solution) - contract extension (5 years)</t>
  </si>
  <si>
    <t>Antonov Logistics SALIS</t>
  </si>
  <si>
    <t>https://esut.de/2021/11/meldungen/30853/salis-vertrag-um-fuenf-jahre-verlaengert/</t>
  </si>
  <si>
    <t>https://www.hartpunkt.de/salis-vertrag-erneut-verlaengert/</t>
  </si>
  <si>
    <t>"Extension of the SALIS (Strategic Airlift International Solution) contract for the years 2022-2026"</t>
  </si>
  <si>
    <t>"The NATO Support and Procurement Agency NSPA has extended the service contract with Antonov Logistics SALIS GmbH by five years, as Antonov recently announced. After that, the company will keep two wide-body AN 124-100 aircraft permanently available at Leipzig Airport for orders from NATO countries. In July 2021, the Bundestag committees had allocated 206 million euros for the German share of the contract."</t>
  </si>
  <si>
    <t>DE64</t>
  </si>
  <si>
    <t>Helicopter weapons system</t>
  </si>
  <si>
    <t>Helicopter</t>
  </si>
  <si>
    <t>https://www.bundeswehr.de/resource/blob/5205260/bbec29cd36507eace59ed4a956008c63/27-nh90-erhaelt-upgrade-fuer-den-einsatz-data.pdf</t>
  </si>
  <si>
    <t>https://esut.de/2021/07/meldungen/ruestung2/28767/electronic-warfare-system-und-satcom-fuer-nh90/</t>
  </si>
  <si>
    <t>"Sample installation of a new Electronic Warfare System (EWS) and a satellite communications system (SatCom) in the NH-90"</t>
  </si>
  <si>
    <t>"On July 29, 2021, the NATO Helicopter Management Agency (NAHEMA) in cooperation with the Federal Office of Bundeswehr Equipment, Information Technology and In-Service Support (BAAINBw) signed a contract with NATO Helicopter Industries (NHI) to integrate a new Electronic Warfare System (EWS) from Hensoldt AG and a new satellite communications system (SatCom system) from Collins Aerospace into the NH90 helicopters."</t>
  </si>
  <si>
    <t>"The German Army's NH90 TTH tactical transport helicopters are receiving a new system to defend against combat systems that use radar, infrared or ultraviolet radiation. On July 29, Hensoldt was commissioned by NAHEMA (NATO Helicopter Management Agency) to install an Electronic Warfare System (EWS) that can detect such threats and initiate countermeasures. NAHEMA acts as the client for the NH90 developer nations vis-à-vis the manufacturer consortium NHIndustries. Collins Aerospace was also commissioned to integrate a new satellite communications system (SatCom) that will enable global communications connectivity. The total contract value for both orders is expected to be around 116 million euros."</t>
  </si>
  <si>
    <t>DE64_a</t>
  </si>
  <si>
    <t>Sample installation of Electronic Warfare System (EWS) in NH-90 helicopter</t>
  </si>
  <si>
    <t>Hensolt</t>
  </si>
  <si>
    <t>DE64_b</t>
  </si>
  <si>
    <t>Sample installation of satellite communications system (SatCom) in NH-90 helicopter</t>
  </si>
  <si>
    <t>Collins Aerospace</t>
  </si>
  <si>
    <t>DE65</t>
  </si>
  <si>
    <t>EPC</t>
  </si>
  <si>
    <t>Military equipment</t>
  </si>
  <si>
    <t>Safran Electronics &amp; Defense</t>
  </si>
  <si>
    <t>https://esut.de/2021/08/meldungen/ruestung2/28867/fallschirmsysteme-bundeswehr/</t>
  </si>
  <si>
    <t>https://www.bundeswehr.de/resource/blob/5386862/a2f3d1faf53ccc99a232dc1ba856fe4a/06-neue-fallschirmsysteme-fuer-die-bundeswehr-data.pdf</t>
  </si>
  <si>
    <t>"Procurement of main and reserve parachutes from the existing framework contract in the trinational procurement project of the Ensemble de Parachutage du Combattant (EPC) parachute system"</t>
  </si>
  <si>
    <t>"The German Armed Forces is procuring parachute systems of the “Ensemble de Parachutage du Combattant” (EPC) type to replace the T-10/T-10R systems introduced in 1957. After the Bundestag committees gave the green light for financing at the end of June 2021, the procurement can now take place. The Federal Office of Bundeswehr Equipment, Information Technology and In-Service Support (BAAINBw) had previously concluded a framework agreement with Safran Electronics &amp; Defense through the NATO Procurement and Support Agency (NSPA), through which the EPC can be procured in cooperation with Belgium and the Netherlands. In a first batch, 1,662 main and 1,162 reserve parachutes and the necessary accessories are to be ordered. Pre-series systems are to be delivered this year. They will be used for integrated verification and aeronautical approval of the parachutes. The series devices are to be delivered to the troops between 2022 and 2026. The financial outlay is estimated at around 24 million euros. Added to this are the NSPA transaction fee and a supplementary contract to ensure operational and supply readiness worth 2.7 million euros."</t>
  </si>
  <si>
    <t>DE65_a</t>
  </si>
  <si>
    <t>EPC main parachute</t>
  </si>
  <si>
    <t>DE65_b</t>
  </si>
  <si>
    <t>EPC reserve parachute</t>
  </si>
  <si>
    <t>DE66</t>
  </si>
  <si>
    <t>Heron TP armament</t>
  </si>
  <si>
    <t>https://www.bmvg.de/de/aktuelles/bewaffnung-der-heron-tp-drohnen-mit-praezisionsmunition-5389376</t>
  </si>
  <si>
    <t>https://www.bmvg.de/de/presse/deutscher-bundestag-ebnet-weg-bewaffnung-drohnen-5389634</t>
  </si>
  <si>
    <t>https://esut.de/2022/04/meldungen/33496/bewaffnung-von-heron-tp-drohnen-gebilligt/</t>
  </si>
  <si>
    <t>"In its meeting on April 6, the Budget Committee of the German Bundestag released funds for arming the Heron TP reconnaissance drone. In the future, the drones can be equipped with special precision guided missiles. A total of around 150 million euros are earmarked for armament, personnel training and peripheral equipment."</t>
  </si>
  <si>
    <t>"Following the Defense Committee of the German Bundestag, the Budget Committee has now also discussed the arming of drones. It has approved a change to the German-Israeli government agreement for the German Heron TP project. This involves making the system fully capable of being armed and providing the associated training and ammunition procurement. The contract volume is around 150 million euros."</t>
  </si>
  <si>
    <t>DE67</t>
  </si>
  <si>
    <t>Semi-trailer 70t</t>
  </si>
  <si>
    <t>Doll Fahrzeugbau</t>
  </si>
  <si>
    <t>https://www.bmvg.de/de/aktuelles/neue-schwerlastanhaenger-fuer-die-bundeswehr-5424250</t>
  </si>
  <si>
    <t>https://www.bundeswehr.de/de/organisation/ausruestung-baainbw/aktuelles/bundeswehr-erhaelt-neue-militarisierte-sattelanhaenger-70t-5439706</t>
  </si>
  <si>
    <t>https://www.bundeswehr.de/resource/blob/5438380/e4990eba00f3dbf06a1d0aa572a1b3b4/10-bundeswehr-erhoeht-eigene-kapazitaeten-fuer-den-schwerlast-transport-data.pdf</t>
  </si>
  <si>
    <t>"With the budget funds released by the Budget Committee, the Bundeswehr is purchasing militarized semi-trailers in the 70-ton payload class. These complement the tractor units already purchased. Both can transport weapon systems weighing up to 70 tons on the road and off-road. These include heavyweights such as the Leopard 2 A7 battle tank with a combat weight of around 64 tons or the Panzerhaubitze 2000 with around 57 tons. The semi-trailers are designed for military use and are therefore not only highly mobile. They can also be used to recover harmful equipment."</t>
  </si>
  <si>
    <t>DE68</t>
  </si>
  <si>
    <t>ZEBEL</t>
  </si>
  <si>
    <t>Spare parts logistics ZEBEL - contract extension (2 years)</t>
  </si>
  <si>
    <t>https://www.bundeswehr.de/resource/blob/5443826/1d5a513dc54fdc6da62d107c4645c76b/12-verlaengerung-der-zentralen-bundeswehr-ersatzteil-logistik-data.pdf</t>
  </si>
  <si>
    <t>https://www.bundeswehr-journal.de/2022/zentrale-ersatzteil-logistik-vertrag-mit-esg-verlaengert/</t>
  </si>
  <si>
    <t>"Since 2000, the German Armed Forces has been providing spare parts through the Central Bundeswehr Spare Parts Logistics project (ZEBEL). ZEBEL supplements the Bundeswehr's central logistics processes with the component for on-time and order-compliant picking. The service recipients are primarily the Army Maintenance Logistics (HIL) as well as civil maintenance facilities and maintenance companies. Currently, around 390 service recipients are being supplied. The contract with the civilian operating company can now be extended by two years following approval by the Budget Committee. The current war in Ukraine in particular shows how important it is that the supply of spare parts is and remains reliable and permanently secured."</t>
  </si>
  <si>
    <t>DE69</t>
  </si>
  <si>
    <t>Clothing and personal equipment</t>
  </si>
  <si>
    <t>Modernisation</t>
  </si>
  <si>
    <t>https://www.bundeswehr.de/de/aktuelles/meldungen/statment-ministerin-beschaffung-persoenliche-ausruestung-5390076</t>
  </si>
  <si>
    <t>https://www.bmvg.de/de/presse/vollausstattung-persoenliche-ausruestung-bis-2025-5390698</t>
  </si>
  <si>
    <t>"As early as April 7, 2022, the Budget Committee discussed the release of EUR 2.4 billion for the early equipping  of active soldiers with clothing and personal equipment in order to enable short-term commissioning due to the current security policy developments caused by Russia's attack on Ukraine. This means that by the end of 2025, enough material will have been delivered to fully equip the active troops with protective vests, combat clothing, backpacks and combat helmets. The corresponding 25 million euro proposal has now been approved by the Defense Committee and the Budget Committee of the German Bundestag."</t>
  </si>
  <si>
    <t>"In this way, we are accelerating the equipment project in order to increase the Bundeswehr's defence and alliance capabilities in the current threat situation more quickly than previously planned. The first measure identified was the early procurement of additional items for the task-oriented equipment of the Bundeswehr with clothing and personal equipment. By the end of 2025, a further 305,000 protective vest systems MOBAST (Modular ballistic protection and carrying equipment), 150,000 combat clothing sets, 122,000 combat helmets and 250,000 110 l backpacks will be delivered. This would enable the active troops to be fully equipped in advance, including regeneration quantities. The total financial requirement for this equipment amounts to around 2.36 billion euros. These procurement contracts are being commissioned immediately for reasons of particular urgency. Due to the current threat situation, such items are in increased demand. In order to secure the limited production capacities of the industry for the Bundeswehr, the orders must therefore be placed at very short notice."</t>
  </si>
  <si>
    <t>DE69_a</t>
  </si>
  <si>
    <t>Modular ballistic protective and carrying equipment</t>
  </si>
  <si>
    <t>DE69_b</t>
  </si>
  <si>
    <t>Combat clothing set</t>
  </si>
  <si>
    <t>DE69_c</t>
  </si>
  <si>
    <t>Backpack system</t>
  </si>
  <si>
    <t>DE69_d</t>
  </si>
  <si>
    <t>Combat helmet</t>
  </si>
  <si>
    <t>DE70</t>
  </si>
  <si>
    <t>Level 2 satellite communications - contract extension (5 years)</t>
  </si>
  <si>
    <t>https://www.bmvg.de/de/aktuelles/satellitenkommunikation-der-bundeswehr-weiter-gesichert-5430634</t>
  </si>
  <si>
    <t>https://esut.de/2022/05/meldungen/34154/betrieb-von-satcombw-wird-verlaengert/</t>
  </si>
  <si>
    <t>"At its meeting on 19 May 2022, the Budget Committee of the German Bundestag approved around 62 million euros for the extension of the Satellite Communications Stage 2 contract. The company Airbus Defence and Space GmbH operates the large ground station for satellite communications in Weilheim for the German Armed Forces. The contract for the operation of the station will be extended until the end of 2028. The large ground station in Weilheim, like the two large military-operated ground stations at the Gerolstein and Kastellaun sites, serves as an anchor station for data transmission to and from the satellites and as an interface to the terrestrial communications networks."</t>
  </si>
  <si>
    <t>DE71</t>
  </si>
  <si>
    <t>Operational boat for Navy special forces</t>
  </si>
  <si>
    <t>Sondervermögen</t>
  </si>
  <si>
    <t>Boomeranger Boats</t>
  </si>
  <si>
    <t>Finland</t>
  </si>
  <si>
    <t>JK Defense</t>
  </si>
  <si>
    <t>Texcon</t>
  </si>
  <si>
    <t>Wildhagen Marien Service</t>
  </si>
  <si>
    <t>https://www.bmvg.de/de/aktuelles/bundestag-gibt-mittel-fuer-weitere-beschaffungsvorhaben-frei-5450292</t>
  </si>
  <si>
    <t>https://www.hartpunkt.de/gruenes-licht-fuer-neue-einsatzboote/</t>
  </si>
  <si>
    <t>"The Navy's special forces are receiving new medium-range operational boats. The Bundestag's budget committee approved a 25 million euro proposal for the project on Wednesday. The MPs also approved the procurement of four systems for the evaluation of aerial photographs. The Federal Ministry of Finance had requested approval from the Budget Committee to release funds for the purchase of nine boats and accessories. Communication devices and other on-board equipment are also part of the investment package. The new operational boats replace the older rigid inflatable boats RHIBH1010 of the Navy's special forces. They are faster, have a longer range and are better protected than the old models. This increases the tactical mobility of the Navy's special forces. The operational boats are to be used for ten years. The proposal approved by the Budget Committee also includes the option to procure a further twelve operational boats plus accessories. The procurement project will initially be financed through the regular defense budget. From 2023, the funds will come from the Bundeswehr's special fund."</t>
  </si>
  <si>
    <t>DE72</t>
  </si>
  <si>
    <t>System for evaluating aerial images and video transmissions</t>
  </si>
  <si>
    <t>Rafael Advanced Defense Systems</t>
  </si>
  <si>
    <t>https://www.bundeswehr-journal.de/2022/bundeswehr-verbessert-faehigkeiten-zur-luftbildauswertung/</t>
  </si>
  <si>
    <t>https://esut.de/2022/06/meldungen/35287/luftwaffe-erhaelt-containersysteme-zur-luftbildauswertung/</t>
  </si>
  <si>
    <t>"The second 25 million euro bill, approved by the Budget Committee on Wednesday, will enable the procurement of four systems for the evaluation of aerial photographs and video transmissions. The image evaluation technology is housed in self-sufficient and deployable containers that are also protected against gunfire and eavesdropping attempts. The systems will be used to evaluate imaging sensors on fighter jets such as the Eurofighter and the Tornado, as well as on unmanned aircraft such as the Heron 1 and Heron TP. The contract is worth around 101 million euros, which will be funded from the regular defense budget. The new technology is intended to replace four outdated and unprotected image evaluation systems in the Air Force."</t>
  </si>
  <si>
    <t>DE73</t>
  </si>
  <si>
    <t>P-8A Poseidon - contract adjustment</t>
  </si>
  <si>
    <t>https://www.bmvg.de/de/aktuelles/bundestag-gibt-mittel-fuer-marineflugzeug-p-8a-poseidon-frei-5454548</t>
  </si>
  <si>
    <t>https://www.bundeswehr-journal.de/2022/weitere-haushaltsmittel-fuer-marineflugzeug-p-8a-poseidon/</t>
  </si>
  <si>
    <t>"The procurement of five P-8A Poseidon aircraft as a temporary replacement for the P-3C Orion, which was already decided in June 2021, will be supplemented. The Budget Committee has now approved additional funds for training and spare parts for the introduction of the new submarine hunter and maritime patrol aircraft. "</t>
  </si>
  <si>
    <t>"The German Navy is expected to fly the Poseidon from the end of 2024 to 2035. In addition to the procurement already commissioned via a government purchase agreement with the USA, the Budget Committee has now approved necessary additional services. As already announced in June 2021, these relate, for example, to the training of aircraft crews and aircraft technical personnel, the initial spare parts requirement as well as support services and future software updates. The addition has a volume of around 341.8 million euros. "</t>
  </si>
  <si>
    <t>DE74</t>
  </si>
  <si>
    <t>Eurofighter weapon system development</t>
  </si>
  <si>
    <t>Eurofighter Jagdflugzeuge</t>
  </si>
  <si>
    <t>Great Britain</t>
  </si>
  <si>
    <t>"In addition, the capabilities of the Eurofighter weapon system are to be expanded. NATO-Management agency NETMA (NATO Eurofighter &amp; Tornado Management Agency) for the German Armed Forces signed a contract with the Eurofighter fighter aircraft GmbH for a consolidation package. The order volume amounts to 242 million euros. The package is intended to expand the Eurofighter 's armament, communications systems and friend-or-foe recognition system . It also aims to eliminate weak points in various systems on the fighter jet and to expand and meet legal requirements. In addition, a common approval basis is to be created in the multinational armament project by bringing the different construction stages to a uniform development standard. The aim is to join the further development package in the Eurofighter programme by mid-2022 at the latest. Overall, this will create the basis for future developments so that the Eurofighter can be in service until the mid-2050s. "</t>
  </si>
  <si>
    <t>DE75</t>
  </si>
  <si>
    <t>"Another topic was the follow-up solution for the Bundeswehr's clothing management. Following the Defense Committee, the Budget Committee has now also approved a contract worth around 6.89 billion euros. This means that the Bundeswehr's clothing management GmbH continues to be a wholly owned in-house company that supplies soldiers and civilian personnel with clothing and personal equipment. With their continuation in an optimized form, the previous services will continue without interruption. In addition, the basis for the early procurement of new protective vest systems, combat clothing, combat helmets and backpacks with a total volume of around 2.4 billion euros will remain. Up to now, these items were to be procured on the timeline up to 2031. Now, enough material will be delivered by the end of 2025 to enable the active troops to be fully equipped."</t>
  </si>
  <si>
    <t>DE76</t>
  </si>
  <si>
    <t>https://www.rheinmetall.com/de/media/news-watch/news/2022/2022-10-19_millionenauftrag-durch-die-bundeswehr-rheinmetall-liefert-weitere-uebungsmunition-fuer-den-leopard-2</t>
  </si>
  <si>
    <t>"In another resolution of the Budget Committee, ammunition orders were approved on the basis of a framework agreement concluded in November 2020. The orders based on the ammunition stockpiling concept include two 120-millimeter ammunition types for training purposes for the Leopard 2 main battle tank. They have a total order volume of around 42.1 million euros. The reordered training ammunition is a cost-effective alternative for training tank crews with reduced danger areas compared to combat ammunition."</t>
  </si>
  <si>
    <t>"Rheinmetall has been commissioned by the German Armed Forces to supply further new 120mm training ammunition for battle tanks. The German armed forces ordered 10,715 DM98 cartridges and 10,000 DM88 cartridges. The order, which was booked in the second quarter of 2022, is worth around EUR 42 million gross. Delivery has been taking place since August 2022 and is scheduled to be completed in October 2022."</t>
  </si>
  <si>
    <t>DE77</t>
  </si>
  <si>
    <t>RAM Block 2B missile</t>
  </si>
  <si>
    <t>RAM-System</t>
  </si>
  <si>
    <t>Diehl Defense </t>
  </si>
  <si>
    <t>MBDA Germany</t>
  </si>
  <si>
    <t>Raytheon</t>
  </si>
  <si>
    <t>https://www.bmvg.de/de/aktuelles/bundestag-genehmigt-neue-lenkflugkoerper-fuer-die-marine-5500456</t>
  </si>
  <si>
    <t>https://www.bundeswehr-journal.de/2022/600-neue-lenkflugkoerper-ram-block-2-fuer-die-marine/</t>
  </si>
  <si>
    <t>"On 21 September, the Budget Committee of the German Bundestag approved the procurement of 600 R.A.M. (Rolling Airframe Missile) Block 2B was approved. The weapon system is a further development of the guided missiles already used by the Navy R.A.M. (Rolling Airframe Missile)."</t>
  </si>
  <si>
    <t>"The 600 guided missiles will be delivered between 2024 and 2029. The contract value is 560.9 million euros. In addition, additional contracts with a volume of around 76.1 million euros are required to ensure the supply readiness of the systems and to support the production of the Guided missiles R.A.M. Block 2 until it is replaced."</t>
  </si>
  <si>
    <t>DE78</t>
  </si>
  <si>
    <t>RAM Block 2B missile - additional services</t>
  </si>
  <si>
    <t>DE79</t>
  </si>
  <si>
    <t>Speaking set with hearing protection</t>
  </si>
  <si>
    <t>https://www.bmvg.de/de/aktuelles/gruenes-licht-fuer-moderne-sprechsaetze-und-praezise-munition-5504982</t>
  </si>
  <si>
    <t>"For around 7.5 million euros, the Bundeswehr can purchase a further 3,665 communication sets with hearing protection (SMG). With the modern digital headsets, soldiers can regulate the volume of ambient noise or conversations. Impulse noise - such as that from gunshots or detonations - is automatically filtered. Radios can be connected to the headset using an adapter, so that radio communication is also possible while wearing hearing protection. The 3,665 headsets with hearing protection are to be delivered this year. In the medium term, the Bundeswehr plans to equip all soldiers with such a headset."</t>
  </si>
  <si>
    <t>DE80</t>
  </si>
  <si>
    <t>155mm SMArt search fuse ammunition development</t>
  </si>
  <si>
    <t>Gesellschaft für Intelligente Wirksysteme (GIWS)</t>
  </si>
  <si>
    <t>https://esut.de/2022/10/meldungen/37472/nachentwicklung-fuer-artilleriemunition-smart-155-genehmigt/</t>
  </si>
  <si>
    <t>"With the search-fuzed artillery ammunition (SMArt 155) introduced at the beginning of the 2000s, the German army can attack battle tanks and other heavily armored targets with precision even at long distances using the Panzerhaubitze 2000. With a view to the planned procurement of further projectiles in the future, the electronic components must be redeveloped. Around 97.4 million euros have been earmarked for this measure."</t>
  </si>
  <si>
    <t>DE81</t>
  </si>
  <si>
    <t>DE_30mm_1</t>
  </si>
  <si>
    <t>Puma ammunition</t>
  </si>
  <si>
    <t>https://www.bmvg.de/de/aktuelles/munition-fuer-schuetzenpanzer-puma-und-moderne-funkgeraete-5530546</t>
  </si>
  <si>
    <t>https://www.rheinmetall.com/en/media/news-watch/news/2022/2022-12-08_major-order-from-the-bundeswehr-for-30mm-ammunition-for-puma-ifv</t>
  </si>
  <si>
    <t>"At its meeting on November 30, the Budget Committee of the German Bundestag created the framework for the procurement of more than 600,000 rounds of machine cannon ammunition for the Puma infantry fighting vehicle and for the continued operation of the Cyber ​​Innovation Hub. The first 25,000 rounds of ammunition in caliber 30 x 173 millimeters are to be called up in 2022. The procurement of machine gun ammunition for the Puma also serves to secure the combat stockpile for the rapid reaction force VJTF. The cartridges are also needed for training and exercises by the German Armored Infantry. In total, ammunition is to be purchased for around 576 million euros."</t>
  </si>
  <si>
    <t>"The German Bundeswehr has signed a framework agreement with Rheinmetall to supply over 600,000 rounds of medium-calibre ammunition for the Puma infantry fighting vehicle. In total, ammunition is to be procured for around EUR 576 million. The budget committee of the German Parliament approved the bill for this comprehensive procurement on 30 November 2022. A first call-off of around 25,000 rounds of DM21 30mm x 173 cal. ammunition is expected to come before the end of 2022. This automatic cannon ammunition order for the Puma will ensure an adequate operational supply for the NATO Very High Readiness Joint Task Force, the VJTF. Moreover, the cartridges are required for German Army mechanized infantry training and exercises."</t>
  </si>
  <si>
    <t>DE82</t>
  </si>
  <si>
    <t>E-Lynx UHF radio</t>
  </si>
  <si>
    <t>Elbit Systems Deutschland</t>
  </si>
  <si>
    <t>Elbit Systems</t>
  </si>
  <si>
    <t>https://esut.de/2022/11/meldungen/38211/e-lynx-hand-und-fahrzeugfunkgeraete-fuer-den-digitalen-truppenfunk/</t>
  </si>
  <si>
    <t>https://www.behoerden-spiegel.de/2023/03/07/genehmigung-der-e-lynx-soldatenfunkgeraete/</t>
  </si>
  <si>
    <t>"The Bundeswehr can now also begin to procure handheld and vehicle radios under a framework contract. The modern digital UHF radios are essential for the implementation of the armament program Digitalization of Land-Based Operations (D-LBO) is planned. A first call for equipment for the NATO deployment will take place in the units promised – including the Army division to be set up by 2025. The soldiers’ radios cover the communication needs of dismounted forces via a modern digital transmission process. The Bundeswehr already uses the same radios for the rapid reaction force VJTF 2023, the “spearhead” of the alliance."</t>
  </si>
  <si>
    <t>"During the reconciliation meeting on November 10 and 11, the Bundestag's Budget Committee approved a framework agreement for the procurement of soldier and vehicle radios for the tactical environment in the Digitization of Land-Based Operations (D-LBO) program. The BMVg wants to procure handheld and vehicle radios for digital troop radio in the period up to 2030, including the accessories required for operation and the services associated with the introduction into the Bundeswehr. The BMVg has stated the total volume for up to 15,227 soldier radios at 162 million euros and will be financed from individual budget 14."</t>
  </si>
  <si>
    <t>"In the first step, the BMVg has requested services for the period 2023 to 2026 worth 23.2 million euros. In addition, there will be additional services up to 2028 amounting to 85 million euros and optional services with a volume of 53.8 million euros in 2029 and 2030. 'The contract for supplying the equipment and services was awarded to the bidding consortium Elbit Systems Germany and Elbit Systems C4I and Cyber, Israel. The companies are supplying software-defined radio devices from the E-Lynx series, the first examples of which have already been introduced into the German armed forces with the new version of the soldier system Infantryman of the Future - Advanced System (IdZ-ES)."</t>
  </si>
  <si>
    <t>DE83</t>
  </si>
  <si>
    <t>Bundeswehr Cyber ​​Innovation Hub - contract extension (5 years)</t>
  </si>
  <si>
    <t>"The Cyber ​​Innovation Hub of the Bundeswehr (CIHBw), which is organized as a department in the BWI GmbH can continue to operate for the years 2023 to 2027. For this purpose, the Bundeswehr concludes a contract with its IT service provider has a budget of ten million euros per year, a total of 50 million euros. The hub is intended to give the Bundeswehr rapid access to new cyber and information technologies, especially from the start-up sector."</t>
  </si>
  <si>
    <t>DE84</t>
  </si>
  <si>
    <t>Commercially available IT components</t>
  </si>
  <si>
    <t>"For up to 82.25 million euros, commercially available IT components are to be procured. This means that an existing framework agreement will be extended accordingly in order to create a transition to the successor agreement that is currently being tendered."</t>
  </si>
  <si>
    <t>DE85</t>
  </si>
  <si>
    <t>G95A1 assault rifle</t>
  </si>
  <si>
    <t>Heckler und Koch</t>
  </si>
  <si>
    <t>https://www.bmvg.de/de/aktuelles/bundeswehr-kann-g36-nachfolger-beschaffen-5540930</t>
  </si>
  <si>
    <t>https://www.bmvg.de/de/aktuelles/sondervermoegen-bundeswehr-markiert-historischen-aufbruch-5542400</t>
  </si>
  <si>
    <t>https://euro-sd.com/2023/02/articles/29148/germany-finally-settles-assault-rifle-requirement/</t>
  </si>
  <si>
    <t>"The "System Sturmgewehr Bundeswehr" - a new assault rifle based on the HK416 A8 from the manufacturer Heckler and Koch - is intended to replace the G36 as the Bundeswehr's standard rifle. The Bundeswehr can now procure 118,718 new assault rifles for around 209 million euros. The first weapons will be delivered to the troops in 2024. The selection decision was made in spring 2021, but a review procedure against the decision by an unsuccessful bidder delayed the conclusion of the contract."</t>
  </si>
  <si>
    <t>DE86</t>
  </si>
  <si>
    <t>https://www.rheinmetall.com/de/media/news-watch/news/2023/april/2023-04-19-nachruestung-puma</t>
  </si>
  <si>
    <t>"143 Puma infantry fighting vehicles can be upgraded to a uniform design level for around 850 million euros. With the upgrade, all Puma vehicles in the German army will reach a uniform and operational technical level. The modern infantry fighting vehicle is the main weapon system of the armored infantry troops and is intended to replace the Marder, which has been in service since the 1970s, in the medium term."</t>
  </si>
  <si>
    <t>DE87</t>
  </si>
  <si>
    <t>CATV</t>
  </si>
  <si>
    <t>BvS10 Collaborative All Terrain Vehicle (CATV)</t>
  </si>
  <si>
    <t>BAE Systems Hägglunds</t>
  </si>
  <si>
    <t>https://esut.de/en/2022/12/meldungen/38718/bundeswehr-erhaelt-catv-ueberschneefahrzeug/</t>
  </si>
  <si>
    <t>"140 Collaborative All-Terrain Vehicles (CATV) from the manufacturer BAE Systems Hägglunds for around 405 million euros. They are intended to replace the outdated and no longer economically viable predecessor Bv206D. Snow vehicles can transport soldiers and material in difficult and mountainous terrain, even under extreme climatic conditions. The new CATV are being procured jointly with Great Britain and Sweden. The Scandinavian country is taking the lead in the joint procurement process."</t>
  </si>
  <si>
    <t>DE88</t>
  </si>
  <si>
    <t>Command and communication equipment</t>
  </si>
  <si>
    <t>https://www.rheinmetall.com/de/media/news-watch/news/2023/jan-mar/2023-01-26_grossauftrag-der-bundeswehr-soldatensystem-idz-es</t>
  </si>
  <si>
    <t>"For the Infantryman of the Future system, which is used in the Army, Air Force and Navy, the Bundeswehr can procure 476 command equipment items for around 51 million euros. The equipment consists of digital radios, a user terminal comparable to a robust cell phone and a battle management system. The equipment ensures the infantrymen's ability to communicate even under combat conditions."</t>
  </si>
  <si>
    <t>"The Bundeswehr has commissioned Rheinmetall to modernize command and control equipment for soldier systems. Command and control equipment for 14 "Infantryman of the Future - Extended System" train systems is to be delivered to the troops. This includes equipment for 476 individual soldiers. The order, worth a mid-double-digit million EUR amount, was booked in December 2022, shortly after the Budget Committee of the German Bundestag released the funds from the special fund."</t>
  </si>
  <si>
    <t>DE89</t>
  </si>
  <si>
    <t>Joint interconnected radio equipment (SVFuA)</t>
  </si>
  <si>
    <t>Rohde &amp; Schwarz</t>
  </si>
  <si>
    <t>https://www.bundeswehr-journal.de/2024/moderne-kommunikations-und-funktechnik-fuer-die-truppe/</t>
  </si>
  <si>
    <t>"On the basis of a framework agreement, the German Armed Forces can purchase modern digital command radios for the implementation of the armament program Digitalization of Land-Based Operations (D-LBO). This contract and the associated firm order will initially provide the equipment for NATO. The new radios will enable soldiers to communicate using a modern digital transmission method. The Bundeswehr is already using the same radios for the rapid NATO Response force VJTF."</t>
  </si>
  <si>
    <t>DE90</t>
  </si>
  <si>
    <t>Access to rail transport</t>
  </si>
  <si>
    <t>DB Cargo AG</t>
  </si>
  <si>
    <t>"In 2023, Germany will assume responsibility as a framework nation for the rapid NATO Very High Readiness Joint Task Force (VJTF). For the rapid deployment of the land-based VJTF the German army can conclude a supply contract with DB Cargo AG for around 69 million euros. The framework freight contract stipulates that the railway must provide around 340 flat wagons, locomotives, operating personnel and free routes within six days and complete the transports within a specified time frame."</t>
  </si>
  <si>
    <t>DE91</t>
  </si>
  <si>
    <t>F-35A fighter jet</t>
  </si>
  <si>
    <t>Lockheed Martin</t>
  </si>
  <si>
    <t>https://www.bmvg.de/de/aktuelles/bundeswehr-kann-35-f-35a-fuer-rund-8-3-milliarden-euro-kaufen-5540934</t>
  </si>
  <si>
    <t>https://www.bmvg.de/de/aktuelles/f-35a-wird-in-rekordzeit-fuer-die-bundeswehr-beschafft-5540968</t>
  </si>
  <si>
    <t>"In March 2022, it was decided to prepare the parliamentary procurement decision for the F-35A fighter jet as the successor to the Tornado fighter-bomber for the Bundeswehr. Now, at its meeting on December 14, the Budget Committee of the German Bundestag has released the funds for the procurement of the stealth multi-role combat aircraft. The project is financed from the Bundeswehr special fund. Following approval by the Budget Committee, the Vice President of the Federal Office of Bundeswehr Equipment, Information Technology and In-Service Support (BAAINBw), Annette Lehnigk-Emden, signed the Letter of Offer and Acceptance (LOA). With the signing of the contract offer, the procurement of the F-35A can enter the implementation phase."</t>
  </si>
  <si>
    <t>"The 35 combat aircraft include an extensive package of engines, role-specific mission equipment, spare and replacement parts, technical and logistical support, training and armament. The F-35A is intended to seamlessly take over the role of nuclear sharing previously assigned to the Tornado fighter-bomber until it is decommissioned. In addition, as a fighter-bomber it is intended to attack enemy targets on the ground and provide close air support for its own troops."</t>
  </si>
  <si>
    <t>DE92</t>
  </si>
  <si>
    <t>COMSATBw 1 and 2 satellites - contract extension (5 years)</t>
  </si>
  <si>
    <t>https://www.bmvg.de/de/aktuelles/fernmeldesatelliten-der-bundeswehr-fliegen-bis-ende-2028-weiter-5579704</t>
  </si>
  <si>
    <t>https://www.bundeswehr-journal.de/2023/satcombw-betrieb-jetzt-bis-ende-dezember-2028/</t>
  </si>
  <si>
    <t>"The contract with Airbus Defence and Space GmbH from 2006, which currently only runs until December 31, 2023, provides for an extension option until December 31, 2028. With its resolution, the Budget Committee has now approved this option. This means that the operation of the Bundeswehr's own satellites COMSATBw 1 and 2 can continue without interruption. The contract value amounts to around 52.8 million euros. The continued operation of the COMSATBw 1 and 2 satellites is essential to ensure national and alliance defence as well as Germany’s security interests."</t>
  </si>
  <si>
    <t>DE93</t>
  </si>
  <si>
    <t>Gepard ammunition for Ukraine</t>
  </si>
  <si>
    <t>Einzelplan 60</t>
  </si>
  <si>
    <t>Ukraine</t>
  </si>
  <si>
    <t>https://www.bmvg.de/de/aktuelles/gepard-munition-fuer-ukraine-wird-in-deutschland-produziert-5583588</t>
  </si>
  <si>
    <t>https://www.rheinmetall.com/de/media/news-watch/news/2023/jan-mar/2023-02-15_rheinmetall-erhaelt-grossauftrag-ueber-mittelkalibermunition</t>
  </si>
  <si>
    <t>https://www.bmvg.de/de/presse/neu-produzierte-gepard-munition-ist-in-ukraine-angekommen-5674218</t>
  </si>
  <si>
    <t>"The capabilities of the anti-aircraft gun tank are highly valued by Ukrainian soldiers, the minister reported from his personal discussions during his recent visit to Ukraine. Therefore, the news about Gepard ammunition production in Germany is good. "We will now immediately start our own production of Gepard ammunition again at Rheinmetall," said Pistorius. This production will start immediately. Germany wants to support Ukraine with 300,000 rounds of Gepard ammunition. "</t>
  </si>
  <si>
    <t>"The German Federal Ministry of Defense has commissioned Rheinmetall, on behalf of Ukraine, to supply 35mm ammunition for the Gepard anti-aircraft gun tank. A total of 300,000 cartridges are to be delivered. The ammunition is intended to support the Ukrainian armed forces that use the Gepard. The contract value is in the low three-digit million EUR range.
Rheinmetall will deliver 150,000 cartridges each of Armour Piercing Discarding Sabot (Tracer, APDS-T) and High Explosive Incendiary (Tracer, HEI-T). This will enable a wide range of targets to be effectively attacked. The first APDS-T cartridges will be delivered in summer 2023. A production switch from APDS-T to HEI-T is scheduled to take place in mid-2024."</t>
  </si>
  <si>
    <t>"The contract signed in February with a budget of €168 million includes the delivery of a total of 300,000 rounds. For this, production had to be restarted and a method for producing old ammunition using new resources had to be found. Despite this complex process, it was possible - just under 7 months after the contract was signed - to deliver the first ammunition to Ukraine. With this delivery of ammunition, Germany is once again showing that it is using and exploiting all its possibilities."</t>
  </si>
  <si>
    <t>DE94</t>
  </si>
  <si>
    <t>Communication equipment</t>
  </si>
  <si>
    <t>https://www.bmvg.de/de/aktuelles/digitalfunk-bundestag-genehmigt-bestellung-aus-sondervermoegen-5586808</t>
  </si>
  <si>
    <t>"The 3,000 handheld radios and 500 radios for vehicles are financed from the Bundeswehr special fund. They are being purchased for around 33.2 million euros – including accessories and licenses – and are the first binding order based on a framework agreement for the purchase of a total of 15,227 digital radios. The first devices are to be made available to the Bundeswehr this year – in particular to the units that are NATO-Response forces are registered. Delivery of the radio equipment from this order is scheduled to be completed by the end of 2024. The modern telecommunications equipment is part of the armament program Digitalization of Land-Based Operations (D-LBO). The procurement is another milestone on the way to digital troop radio in the land forces. The handheld radios of the SEM device family, some of which are decades old, will thus be gradually replaced."</t>
  </si>
  <si>
    <t>DE94_a</t>
  </si>
  <si>
    <t>E-Lynx UHF handheld radio</t>
  </si>
  <si>
    <t>DE94_b</t>
  </si>
  <si>
    <t>E-Lynx UHF vehicle radio</t>
  </si>
  <si>
    <t>DE95</t>
  </si>
  <si>
    <t>GTF protected transport vehicle 15t</t>
  </si>
  <si>
    <t>Iveco Defense Vehicles</t>
  </si>
  <si>
    <t>Palfinger</t>
  </si>
  <si>
    <t>Rotzler Germany </t>
  </si>
  <si>
    <t>OSW Technical Documentation Verlag</t>
  </si>
  <si>
    <t>Austria</t>
  </si>
  <si>
    <t>https://www.bmvg.de/de/aktuelles/parlament-bewilligt-bestellung-von-230-transportfahrzeugen-5591546</t>
  </si>
  <si>
    <t>https://esut.de/en/2023/03/meldungen/40636/bundeswehr-erhaelt-die-zweite-tranche-gtf-zlk-15t/</t>
  </si>
  <si>
    <t>"The troops will receive 230 additional armored Trucks in various variants. The Budget Committee of the German Bundestag has approved the purchase of the Armoured Transport Vehicles, payload class 15 tons (GTFZLK15t) agreed. The Trucks will be delivered between 2025 and 2027, including accessories. The investment of around 196.2 million euros is financed from the defense budget. Since the investment amount is over 25 million euros, the procurement project had to be submitted to the Budget Committee of the German Bundestag for approval. The four-axle vehicles have all-wheel drive to ensure high mobility even off-road. The GTFZLK15t are ordered in five variants: In the basic version, eight vehicles are delivered. 80 Trucks will also be equipped with air suspension on both rear axles. 125 vehicles will be fitted with a winch system and 17 Trucks a winch system and a loading crane. The GTFs are optimized for all military transport tasks, even in difficult terrain. The plan is to initially equip the Bundeswehr units and associations that are part of the rapid response forces of NATO."</t>
  </si>
  <si>
    <t>DE96</t>
  </si>
  <si>
    <t>Panzerhaubitze 2000</t>
  </si>
  <si>
    <t>https://www.bmvg.de/de/aktuelles/bundestag-genehmigt-zehn-neue-panzerhaubitzen-2000-5599760</t>
  </si>
  <si>
    <t>https://www.bundeswehr.de/resource/blob/5605956/a9f611b7887433e83fe3443582929e5c/08-bundeswehr-erhaelt-neue-panzerhaubitzen-2000-dl-data.pdf</t>
  </si>
  <si>
    <t>https://esut.de/en/2023/03/meldungen/41081/nur-zehn-panzerhaubitzen-2000-werden-nachbeschafft/</t>
  </si>
  <si>
    <t>"The Budget Committee of the German Bundestag has approved the purchase of ten Panzerhaubitze 2000. This is the first step towards replacing the units handed over to Ukraine. The contract value for the new 2000 self-propelled howitzers is 184 million euros, which is why Parliament must approve the investment."</t>
  </si>
  <si>
    <t>"The new self-propelled howitzers are being financed through budget item 60 of the federal budget. This is where the funds for the upgrade initiative are located. The upgrade initiative is a security policy instrument of the federal government to support selected partner states with military material, equipment and training. Because the Bundeswehr has given 2000 self-propelled howitzers from its stocks to Ukraine, the new guns are now being financed as part of the upgrade initiative. The new howitzers are to be delivered to the troops in 2025 and 2026. The Panzerhaubitze 2000 is the Bundeswehr's standard medium-range artillery piece. The 155-millimeter tube weapon system can achieve firing ranges of over 40 kilometers, depending on the ammunition used. Due to its long combat distance and high precision, the Panzerhaubitze 2000 is used by numerous European armed forces."</t>
  </si>
  <si>
    <t>DE97</t>
  </si>
  <si>
    <t>Integrated Marine Operations Rescue Center (i-MERZ)</t>
  </si>
  <si>
    <t>German Naval Yards Kiel</t>
  </si>
  <si>
    <t>https://www.bundeswehr-journal.de/2023/neues-i-merz-fuer-einsatzgruppenversorger-berlin/</t>
  </si>
  <si>
    <t>https://esut.de/2023/03/meldungen/41118/integriertes-marine-einsatzrettungszentrum-fuer-den-egv-berlin/</t>
  </si>
  <si>
    <t>"The task force supply ship “Berlin” is to receive an integrated marine rescue center (i-MERZ). The contract value for this is around 42 million euros. This purchase will regenerate the existing container-based marine rescue center of the task force supply ship "Berlin". Based on previous operational experience, the container construction method has not proven successful, so the new i-MERZ will be firmly integrated into the ship's structure. The "Berlin" will thus receive an i-MERZ that is identical to the one on the "Frankfurt am Main". The i-MERZ is a medical emergency facility for the initial surgical and intensive care treatment of sick, injured or wounded patients. The i-MERZ essentially has two operating rooms, a recovery room and an intensive care unit, instrument preparation, a dental station, a microbiological laboratory, a pharmacy and imaging procedures such as X-rays as well as production facilities for medical gases."</t>
  </si>
  <si>
    <t>DE98</t>
  </si>
  <si>
    <t>https://vpk.name/en/710839_bae-systems-will-supply-227-bvs10-articulated-all-terrain-vehicles-to-the-german-armed-forces.html</t>
  </si>
  <si>
    <t>"Together with Sweden – as the lead project partner – the project “New Generation of Collaborative All Terrain Vehicle (CATV)" will be used to procure a further 227 vehicles. The costs amount to around 919 million euros. The first vehicles are to be delivered from November 2025. All vehicles are to be there by 2030. The procurement is financed through the special fund for the Bundeswehr. CATV are used for the protected transport of personnel and material – especially weapons, ammunition, supplies and special equipment – ​​and ensure tactical mobility in difficult to navigate, intersected, confusing and narrow, sometimes high mountainous terrain, even under extreme climatic conditions.CATV are used in the areas of national and alliance defense, national crisis intervention, worldwide special operations of the Special Forces Command, and international crisis and conflict prevention. 
The vehicles are to be procured as part of a cooperation between Sweden, Germany and the United Kingdom of Great Britain and Northern Ireland. This cooperation is based on an international agreement - also known as a Memorandum of Understanding - on multinational cooperation on off-road vehicles dated March 5, 2020."</t>
  </si>
  <si>
    <t>DE99</t>
  </si>
  <si>
    <t>Evolved Sea Sparrow Missile</t>
  </si>
  <si>
    <t>Denmark</t>
  </si>
  <si>
    <t>Turkey</t>
  </si>
  <si>
    <t>https://www.bmvg.de/de/aktuelles/lenkflugkoerper-it-57-sattelzugmaschinen-sollen-beschafft-werden-5612678</t>
  </si>
  <si>
    <t>https://www.naval-technology.com/projects/evolved-sea-sparrow-missile-essm/?cf-view</t>
  </si>
  <si>
    <t>"The Evolved Sea Sparrow Missile weapon system (ESSM) is a guided missile for close-range air defense. It is intended to be used on Class 124 frigates and, in the future, also on Class 126 and 123. It is part of the maritime air defense. ESSM is used to defend against anti-ship missiles and to combat aircraft. The procurement of the guided missiles covers the initial equipment requirements of the 124 class frigates. The associated launch containers, transport containers and spare parts will also be supplied. The procurement of the guided missiles for the 126 frigates and the full equipment of the F124 is planned in a second tranche from 2024. Following the approval of the Budget Committee for the procurement of guided missiles for the initial equipment of the frigate class 124, the Federal Ministry of Defence has now signed a so-called Acceptance Note. This corresponds to a preliminary contract for the German share of this weapon system from the USA. The German side is to conclude contracts for the procurement worth around 269 million euros. German arms companies are involved in this project. The current version of the guided missile ESSM is developed multilaterally and cooperatively."</t>
  </si>
  <si>
    <t>DE100</t>
  </si>
  <si>
    <t>https://www.bundeswehr.de/de/organisation/ausruestung-baainbw/aktuelles/gehaertete-it-komponenten-5622772</t>
  </si>
  <si>
    <t>"The Bundeswehr uses a uniform digital command system to manage operations. To operate this system, standardized, hardened and cross-functional IT-Components are required for mobile and stationary use. For this reason, the German Armed Forces have a need for the hardened IT-Components. After approval by the Budget Committee, the Federal Ministry of Defence therefore two framework agreements for the procurement of hardened IT-Components worth up to around 348 million euros. The first framework agreement regulates the procurement of hardened communication servers including accessories. Among other things, up to 7,800 communication servers are to be purchased, as well as up to 600 computer systems, up to 5,900 power packs and up to 1,800 switches, as well as up to 800 displays and up to 800 keyboards that meet military standards. The second framework agreement includes the purchase of hardened notebooks and tablets and accessories. For example, up to 2,400 notebooks, up to 5,500 tablets, up to 1,200 displays and up to 3,500 DockLites, up to 5,000 military-standard keyboards and up to 7,500 voltage converters."</t>
  </si>
  <si>
    <t>DE100_a</t>
  </si>
  <si>
    <t>Communication server</t>
  </si>
  <si>
    <t>https://www.bundeswehr.de/de/organisation/ausruestung-baainbw/aktuelles/gehaertete-it-komponenten-5622761</t>
  </si>
  <si>
    <t>DE100_b</t>
  </si>
  <si>
    <t>Computer system</t>
  </si>
  <si>
    <t>https://www.bmvg.de/de/aktuelles/lenkflugkoerper-it-57-sattelzugmaschinen-sollen-beschafft-werden-5612679</t>
  </si>
  <si>
    <t>https://www.bundeswehr.de/de/organisation/ausruestung-baainbw/aktuelles/gehaertete-it-komponenten-5622762</t>
  </si>
  <si>
    <t>DE100_c</t>
  </si>
  <si>
    <t>Power pack</t>
  </si>
  <si>
    <t>https://www.bmvg.de/de/aktuelles/lenkflugkoerper-it-57-sattelzugmaschinen-sollen-beschafft-werden-5612680</t>
  </si>
  <si>
    <t>https://www.bundeswehr.de/de/organisation/ausruestung-baainbw/aktuelles/gehaertete-it-komponenten-5622763</t>
  </si>
  <si>
    <t>DE100_d</t>
  </si>
  <si>
    <t>Switch</t>
  </si>
  <si>
    <t>https://www.bmvg.de/de/aktuelles/lenkflugkoerper-it-57-sattelzugmaschinen-sollen-beschafft-werden-5612681</t>
  </si>
  <si>
    <t>https://www.bundeswehr.de/de/organisation/ausruestung-baainbw/aktuelles/gehaertete-it-komponenten-5622764</t>
  </si>
  <si>
    <t>DE100_e</t>
  </si>
  <si>
    <t>Display</t>
  </si>
  <si>
    <t>https://www.bmvg.de/de/aktuelles/lenkflugkoerper-it-57-sattelzugmaschinen-sollen-beschafft-werden-5612682</t>
  </si>
  <si>
    <t>https://www.bundeswehr.de/de/organisation/ausruestung-baainbw/aktuelles/gehaertete-it-komponenten-5622765</t>
  </si>
  <si>
    <t>DE100_f</t>
  </si>
  <si>
    <t>Military-standard keyboard</t>
  </si>
  <si>
    <t>https://www.bmvg.de/de/aktuelles/lenkflugkoerper-it-57-sattelzugmaschinen-sollen-beschafft-werden-5612683</t>
  </si>
  <si>
    <t>https://www.bundeswehr.de/de/organisation/ausruestung-baainbw/aktuelles/gehaertete-it-komponenten-5622766</t>
  </si>
  <si>
    <t>DE100_g</t>
  </si>
  <si>
    <t>Notebook</t>
  </si>
  <si>
    <t>https://www.bmvg.de/de/aktuelles/lenkflugkoerper-it-57-sattelzugmaschinen-sollen-beschafft-werden-5612684</t>
  </si>
  <si>
    <t>https://www.bundeswehr.de/de/organisation/ausruestung-baainbw/aktuelles/gehaertete-it-komponenten-5622767</t>
  </si>
  <si>
    <t>DE100_h</t>
  </si>
  <si>
    <t>Tablet</t>
  </si>
  <si>
    <t>https://www.bmvg.de/de/aktuelles/lenkflugkoerper-it-57-sattelzugmaschinen-sollen-beschafft-werden-5612685</t>
  </si>
  <si>
    <t>https://www.bundeswehr.de/de/organisation/ausruestung-baainbw/aktuelles/gehaertete-it-komponenten-5622768</t>
  </si>
  <si>
    <t>DE100_i</t>
  </si>
  <si>
    <t>https://www.bmvg.de/de/aktuelles/lenkflugkoerper-it-57-sattelzugmaschinen-sollen-beschafft-werden-5612686</t>
  </si>
  <si>
    <t>https://www.bundeswehr.de/de/organisation/ausruestung-baainbw/aktuelles/gehaertete-it-komponenten-5622769</t>
  </si>
  <si>
    <t>DE100_j</t>
  </si>
  <si>
    <t>DockLite</t>
  </si>
  <si>
    <t>https://www.bmvg.de/de/aktuelles/lenkflugkoerper-it-57-sattelzugmaschinen-sollen-beschafft-werden-5612687</t>
  </si>
  <si>
    <t>https://www.bundeswehr.de/de/organisation/ausruestung-baainbw/aktuelles/gehaertete-it-komponenten-5622770</t>
  </si>
  <si>
    <t>DE100_k</t>
  </si>
  <si>
    <t>https://www.bmvg.de/de/aktuelles/lenkflugkoerper-it-57-sattelzugmaschinen-sollen-beschafft-werden-5612688</t>
  </si>
  <si>
    <t>https://www.bundeswehr.de/de/organisation/ausruestung-baainbw/aktuelles/gehaertete-it-komponenten-5622771</t>
  </si>
  <si>
    <t>DE100_l</t>
  </si>
  <si>
    <t>Voltage converter</t>
  </si>
  <si>
    <t>https://www.bmvg.de/de/aktuelles/lenkflugkoerper-it-57-sattelzugmaschinen-sollen-beschafft-werden-5612689</t>
  </si>
  <si>
    <t>DE101</t>
  </si>
  <si>
    <t>https://www.rheinmetall.com/de/media/news-watch/news/2023/mai/2023-05-26-rheinmetall-auftrag-sattelzugmaschine-bundeswehr</t>
  </si>
  <si>
    <t>"After approval by the Budget Committee, the Federal Ministry of Defence based on an existing framework agreement, 57 tractor units with a payload of 70 tonnes and double cable winches for around 51 million euros. The new tractor units for the German army are intended to replace outdated tractor units that are no longer economically viable to repair. They are also intended to close a capability gap in the armed forces when it comes to recovering heavy equipment such as the Leopard 2 battle tank. By purchasing the new tractor units, the Bundeswehr ensures that it is guided by the “360-degree approach of NATO“ can meet both the Alliance’s national objectives and its conditions for the “tactical transport space”. This is especially true for the Alliance’s commitment to VJTF (Very High Readiness Joint Task Force). Furthermore, 91 semi-trailers will be procured under a separate framework agreement, which can be combined with the tractor units to form semi-trailers as required."</t>
  </si>
  <si>
    <t>DE102</t>
  </si>
  <si>
    <t>Production and delivery of vector data</t>
  </si>
  <si>
    <t>"Vector data is of crucial importance for the Bundeswehr's geoinformation service. It enables the armed forces to evaluate mission-relevant environmental influences, position themselves precisely, navigate and act precisely on targets. The Federal Ministry of Defence is therefore concluding, with the approval of the Committee on Budgets, a framework agreement for the production and delivery of vector data with a total value of around EUR 99 million. The basis for creating vector data is image data from satellites. Vector data is described using points, lines or areas. These can be, for example, streets, houses, rivers or vegetation."</t>
  </si>
  <si>
    <t>DE103</t>
  </si>
  <si>
    <t>Puma</t>
  </si>
  <si>
    <t>https://www.bmvg.de/de/aktuelles/beschaffung-weiterer-schuetzenpanzer-und-neuer-loeschfahrzeuge-5620458</t>
  </si>
  <si>
    <t>https://www.rheinmetall.com/de/media/news-watch/news/2023/mai/2023-05-15-bundeswehr-bestellt-50-weitere-schuetzenpanzer-puma</t>
  </si>
  <si>
    <t>https://www.handelsblatt.com/politik/deutschland/verteidigung-bundeswehr-schafft-50-weitere-puma-panzer-an-trotz-bedenken-des-bundesrechnungshofs/29143018.html</t>
  </si>
  <si>
    <t>"The Puma is considered the most modern infantry fighting vehicle in the western world. In the German army, it is the combat vehicle of the Panzergrenadiers alongside the Marder infantry fighting vehicle. It is gradually replacing the 50-year-old but continually modernized Marder infantry fighting vehicle. The Budget Committee has now approved the procurement of a further 50 Pumas, with the option of ordering additional vehicles on the basis of framework agreements (so-called second batch). The order is to include spare parts packages, special tool sets and eight MELLS flight phase simulators. By around 2030, the troops will have 400 vehicles of this type. The second batch will be financed from the Bundeswehr's special fund."</t>
  </si>
  <si>
    <t>"The two major German systems houses in military vehicle construction, Krauss-Maffei Wegmann (KMW) and Rheinmetall, have been commissioned to build 50 additional Puma infantry fighting vehicles. The procurement has a total gross volume of EUR 1.087 billion. Of this, EUR 574 million is for KMW and EUR 501 million for Rheinmetall Landsysteme GmbH, which is carrying out the project as a subcontractor. A corresponding order has now been placed by the Federal Office of Bundeswehr Equipment, Information Technology and In-Service Support (BAAINBw), Koblenz. The general contractor is Projekt System &amp; Management GmbH (PSM), a joint venture between KMW and Rheinmetall. A framework agreement was signed that also enables further Puma infantry fighting vehicles to be ordered at a later date. In addition to the 50 combat vehicles, the order also includes spare parts packages and special tool sets as well as eight MELLS flight phase simulators. There is also an option for additional driving school tanks and the installation of the turret-independent secondary weapon system (TSWA). Deliveries are scheduled to begin in December 2025 and be completed by early 2027."</t>
  </si>
  <si>
    <t>DE104</t>
  </si>
  <si>
    <t>Fire engine</t>
  </si>
  <si>
    <t>"28 new so-called rescue fire engines are to be purchased for the German Federal Armed Forces' fire services for 32 million euros. They will replace the Type 3500 vehicles used by the fire protection forces, which can no longer be operated economically after a service life of more than 30 years. The new vehicles – including equipment – ​​are to be delivered between 2025 and 2027. They will be used for rapid and targeted firefighting both at the Bundeswehr fire stations in Germany and in operational areas."</t>
  </si>
  <si>
    <t>DE105</t>
  </si>
  <si>
    <t>Leopard 2 A8</t>
  </si>
  <si>
    <t>https://www.bmvg.de/de/aktuelles/modernste-leopard-2-und-panzerhaubitzen-2000-fuer-die-bundeswehr-5625774</t>
  </si>
  <si>
    <t>https://esut.de/2023/05/meldungen/42151/beschaffung-von-18-leopard-2-a8-und-12-panzerhaubitzen-2000-genehmigt/</t>
  </si>
  <si>
    <t>https://www.bmvg.de/de/presse/zeitenwende-zahlen-beschaffung-ausruestung-5719998</t>
  </si>
  <si>
    <t>"The army will receive 18 Leopard 2 A8 battle tanks. The latest version currently used in the Bundeswehr is the Leopard 2 A7V. The more modern 2 A8 battle tanks are to be delivered between 2025 and 2026. The framework agreement with the manufacturer includes an option for the purchase of additional Leopard 2 A8 battle tanks. In this version currently available on the market, the battle tank will be equipped with the Trophy stand-off active protection system."</t>
  </si>
  <si>
    <t>"In a seven-year framework agreement with the manufacturer Krauss-Maffei Wegmann (KMW), the Bundeswehr is laying the foundations for the procurement of up to 123 Leopard 2A8 battle tanks. 18 Leopard 2A8 battle tanks will be procured as a firm order to replenish the Bundeswehr's inventory to 320 tanks in the troops and eight in the AIN area. A cost price guide of 525.6 million euros was agreed for this. The first two tanks are to be delivered in August 2025 if the contract is signed in June as planned. The other weapon systems are to follow between November 2025 and June 2026."</t>
  </si>
  <si>
    <t>DE106</t>
  </si>
  <si>
    <t>https://www.bundeswehr.de/resource/blob/5628104/4604a50e04f3db7ed999988c1e86eff0/14-bundeswehr-erhaelt-weitere-zwoelf-panzerhaubitzen-dl-data.pdf</t>
  </si>
  <si>
    <t>"Due to the continued support for Ukraine, additional Panzerhaubitzen 2000 will also be financed from funds from the Federal Government's capacity building initiative. The twelve new artillery systems are to be delivered to the Bundeswehr in 2026. In March of this year, the Budget Committee approved the purchase of ten Panzerhaubitzen 2000 to replace the units delivered to Ukraine."</t>
  </si>
  <si>
    <t>"The framework agreement specifies a total order value of EUR 470.2 million, of which EUR 184.2 million will be used for the initial order for ten systems. This results in an order value of EUR 190.7 million for lots 2 and 3, which will include a total of twelve howitzers. Delivery will follow the delivery schedule agreed for the first lot. Accordingly, the two subsequent lots will be delivered between 2027 and 2030, unless the production rate is significantly increased."</t>
  </si>
  <si>
    <t>DE107</t>
  </si>
  <si>
    <t>P-8A Poseidon (simulator)</t>
  </si>
  <si>
    <t>https://www.bundeswehr.de/resource/blob/5628374/ccbd64099522906167d355c46dfedac4/15-baainbw-beschafft-flugzeug-simulator-fuer-p-8a-poseidon-dl-data.pdf</t>
  </si>
  <si>
    <t>https://esut.de/2023/05/meldungen/42413/p-8a-poseidon-deutsche-marine-erhaelt-simulator-fuer-zukuenftiges-seefernaufklaerungs-und-u-boot-jagdflugzeug/</t>
  </si>
  <si>
    <t>"At its meeting, the Budget Committee also approved the purchase of a simulator for the future P-8A Poseidon maritime patrol aircraft and submarine hunters. The procurement of five P-8A Poseidon aircraft was already approved in 2021. They will replace the P-3C Orion aircraft currently in use by 2025. The simulator is financed from the Bundeswehr's special fund. It is expected to be available for training future Poseidon crews from 2027."</t>
  </si>
  <si>
    <t>"The Navy will receive a simulator for the P-8A Poseidon maritime reconnaissance and anti-submarine aircraft, the purchase of which will be financed through the Bundeswehr special fund. On May 25, 2023, the President of the Federal Office of Bundeswehr Equipment, Information Technology and In-Service Support (BAAINBw) signed a corresponding contract. The simulator, also known as the "Weapon System Trainer", will be procured through the Foreign Military Sales (FMS) procedure, with the US government, represented by the US Navy, authorized to conclude a contract with Boeing to procure the simulator for Germany."</t>
  </si>
  <si>
    <t>DE108</t>
  </si>
  <si>
    <t>Iris-T SLM air defence system</t>
  </si>
  <si>
    <t>https://www.bmvg.de/de/aktuelles/iris-t-arrow-wechselladersysteme-fuer-bundeswehr-5636272</t>
  </si>
  <si>
    <t>https://www.bmvg.de/de/aktuelles/vertraege-unterzeichnet-drei-nationen-setzen-auf-iris-t-slm-5676454</t>
  </si>
  <si>
    <t>https://www.bundeswehr-journal.de/2023/sechs-waffensysteme-iris-t-slm-fuer-die-deutsche-luftwaffe/</t>
  </si>
  <si>
    <t>"The Budget Committee of the German Bundestag has, among other things, approved the procurement of six fire units of the ground-based air defence system IRIS-T SLM plus associated guided missiles and other smaller measures, for example for qualification and certification, for a total of up to 950 million euros from funds from the Bundeswehr's special fund. Delivery of the systems will begin in 2024. IRIS-T will then be used in the so-called short-range protection of ground-based air defense. A fire unit of the weapon system IRIS-T SLM consists of the command post, a radar device and several launchers for firing the guided missiles. Additional vehicles or devices are used for maintenance and loading. IRIS-T is used against threats from the air such as drones, airplanes, helicopters or cruise missiles. The system is currently proving its worth under real combat conditions in Ukraine. Germany has supplied the system to Ukraine so that the population and infrastructure can be effectively protected from Russian air attacks. The Bundeswehr is training Ukrainian soldiers in Germany on the system."</t>
  </si>
  <si>
    <t>"From mid-2025, our Air Force will receive six fire units of the ground-based air defense system IRIS-T SLM (Infra Red Imaging System-Tail Surface Launched Medium Range). The Koblenz-based Federal Office of Bundeswehr Equipment, Information Technology and In-Service Support (BAAINBw) signed a contract today (22 June) with representatives of the general contractor Diehl Defence, a provider of high-tech guided missiles. Diehl and its partners Hensoldt and Airbus plan to make the first system available to the Air Force for qualification purposes in the third quarter of 2024 as planned."</t>
  </si>
  <si>
    <t>DE109</t>
  </si>
  <si>
    <t>Rheinmetall MAN Military Vehicles</t>
  </si>
  <si>
    <t>https://www.bundeswehr-journal.de/2023/transportfahrzeuge-bundeswehr-beschafft-doppelte-anzahl/</t>
  </si>
  <si>
    <t>https://esut.de/2023/06/meldungen/land/42881/weitere-wechselladersysteme-fuer-die-logistik/</t>
  </si>
  <si>
    <t>"In addition, 164 protected and 203 unprotected swap body systems with a payload of 15 tonnes and 1,634 swap body platforms with accessories can be procured from an existing framework agreement. The total financial requirement amounts to around 317.2 million euros. The swap body systems are to be delivered by November 2023 at the latest, and the swap body platforms between 2023 and 2025."</t>
  </si>
  <si>
    <t>DE109_a</t>
  </si>
  <si>
    <t>Protected swap body system 15t</t>
  </si>
  <si>
    <t>DE109_b</t>
  </si>
  <si>
    <t>Unprotected swap body system 15t</t>
  </si>
  <si>
    <t>DE109_c</t>
  </si>
  <si>
    <t>Swap body platform</t>
  </si>
  <si>
    <t>DE110</t>
  </si>
  <si>
    <t>Hercules follow-up project (HFP) - additional services</t>
  </si>
  <si>
    <t>https://www.bmvg.de/de/aktuelles/rund-586-millionen-euro-fuer-weitere-digitalisierung-bundeswehr-5639674</t>
  </si>
  <si>
    <t>"The Bundeswehr can use its IT-Service provider, the BWI GmbH, conclude a further amendment agreement on additional services for the operation of their information and communications technology. The Budget Committee of the Bundestag approved a corresponding proposal from the Federal Ministry of Finance on June 21, 2023. The amendment agreement to the Herkules follow-up project (HFP) is an essential building block for the further digitalization of the Bundeswehr and an important basis for further strengthening its resilience. Herkules was a successful major project of the Bundeswehr to modernize its non-military IT-Equipment. It started in 2006 with an initial service period of ten years and was transferred to the HFP in 2016. The further development and operation of information and communications technology for the Bundeswehr will be continued within the framework of the HFP."</t>
  </si>
  <si>
    <t>"The subject of the service expansion is, in addition to increasing quantities, above all the expansion to include new or adaptable IT-Services, for example from the field of information security and the Bundeswehr cloud. In addition, the operation of the "Groupware Bw" project - a platform for cooperation within the Bundeswehr - as well as measures to improve resilience and digitize educational institutions will be transferred to the HFP performance contract. The amending contract has a contract volume of around 586 million euros. Parliament must therefore approve it. Every Bundeswehr procurement project with a total volume exceeding 25 million euros must be submitted to the Budget Committee before the contract is concluded. The Committee approved the project at its meeting on June 21, 2023. The project will be financed from funds from the defense budget, i.e. Section 14."</t>
  </si>
  <si>
    <t>DE111</t>
  </si>
  <si>
    <t>CH-47F Chinook Block II</t>
  </si>
  <si>
    <t>https://www.bmvg.de/de/aktuelles/chinooks-flottendienstboote-und-luftlandefahrzeuge-5646766</t>
  </si>
  <si>
    <t>https://www.produktion.de/schwerpunkte/ruestungsindustrie/vertrag-fix-boeing-liefert-60-chinook-helis-an-deutschland-278.html</t>
  </si>
  <si>
    <t>"Among other things, the procurement of 60 CH-47F Chinook heavy transport helicopters from the USA was approved. The German Army will receive the latest "Block II Standard Range" version with aerial refueling capability. The total order volume is around 6.98 billion euros, financed from the German Army's special fund. The Chinook will replace the German CH-53G fleet, and delivery of the new aircraft is planned for the period 2027 to 2033. With the CH-47F, the Bundeswehr will fly a modern and future-proof helicopter model that is used worldwide, of which more than 500 are already in use by partners and allies. The procurement of the helicopter will strengthen international cooperation – for example within the framework of NATO – and an increase in performance in the area of ​​tactical air transport of personnel, material and wounded in the Bundeswehr. In addition, the troops can use these helicopters to perform new tasks, particularly in the area of ​​armed rescue and repatriation of isolated personnel, such as aircraft crews who have made an emergency landing."</t>
  </si>
  <si>
    <t>DE112</t>
  </si>
  <si>
    <t>Class 424 fleet service ship - contract adjustment</t>
  </si>
  <si>
    <t>NVL Group</t>
  </si>
  <si>
    <t>https://www.bundeswehr-journal.de/2023/startschuss-zum-bau-von-drei-neuen-flottendienstbooten/</t>
  </si>
  <si>
    <t>"The Budget Committee also approved the amendment contract for the procurement of three Class 424 fleet service boats. This means that the project is moving from the design phase to the contractual implementation phase. The total order is therefore worth up to 3.26 billion euros and will be financed from defense budget funds. The new boats are to replace the existing Class 423 fleet service boats. Delivery will take place between 2029 and 2031. The Class 424 fleet service boats and the “Reconnaissance Training and Reference Facility” serve to ensure seamless maintenance of sea-based signal-gathering reconnaissance capabilities. This is a fundamental prerequisite for national analysis, assessment and command capabilities. Experience from operations and reconnaissance trips in recent years has demonstrated the indispensable contribution of fleet service boats to national crisis prevention, early crisis detection, advising political leadership, supplying the armed forces with basic data and supporting German operational contingents. Operations in international crisis management and the refocusing on national and alliance defense will continue to require sea-based signal-gathering reconnaissance resources. The Budget Committee had already determined in its meeting on June 23, 2021 that a replacement purchase was necessary for the Class 423 fleet service boats that were put into service in the 1980s and consequently approved the conclusion of the contract. The amending contract is now intended to lay the foundation for timely project implementation."</t>
  </si>
  <si>
    <t>DE113</t>
  </si>
  <si>
    <t>Caracal airborne vehicle</t>
  </si>
  <si>
    <t>https://www.rheinmetall.com/de/media/news-watch/news/2023/07/2023-07-10-rheinmetall-grossauftrag-fuer-luftlandeplattform-caracal</t>
  </si>
  <si>
    <t>https://wehrtechnik.info/index.php/2023/07/11/deutschland-und-niederlande-bestellen-ueber-3-058-caracal-fahrzeuge/</t>
  </si>
  <si>
    <t>"The committee also gave the green light to the procurement of up to 3,058 airborne vehicles in various variants, including the necessary accessories. These are highly mobile, all-terrain and all-wheel drive wheeled vehicles that will transport soldiers, equipment, weapons, ammunition and material, thus making the airborne forces more mobile on the ground. The project is financed from special funds."</t>
  </si>
  <si>
    <t>"Rheinmetall has been commissioned by the German Armed Forces and the Dutch Armed Forces to supply up to 3,058 Caracal airborne platforms. This is a multi-year framework contract for up to 2,054 German and 1,004 Dutch vehicles, with a contract value of up to EUR 1.9 billion gross. In a first step, 1,508 vehicles worth around EUR 870 million gross were ordered as firm orders from the framework contract. On the German side, the procurement is being carried out using funds from the special fund for the German Armed Forces. The Caracal is a joint product from Rheinmetall's partnership with Mercedes-Benz AG and Armoured Car Systems GmbH. Delivery of the first test models is planned for the first quarter of 2024, with series delivery scheduled to begin in early 2025."</t>
  </si>
  <si>
    <t>DE114</t>
  </si>
  <si>
    <t>DE_155mm_1</t>
  </si>
  <si>
    <t>155mm artillery round DiNa for Ukraine</t>
  </si>
  <si>
    <t>Nammo</t>
  </si>
  <si>
    <t>https://www.bmvg.de/de/aktuelles/bundestag-bewilligt-beschaffung-von-zehntausenden-schussmunition-5646262</t>
  </si>
  <si>
    <t>https://esut.de/2023/07/meldungen/43322/vertrag-fuer-dina155mm-artilleriemunition-unterschrieben/</t>
  </si>
  <si>
    <t>https://defbrief.com/2023/07/12/germany-orders-155mm-artillery-ammunition/</t>
  </si>
  <si>
    <t>"An existing framework agreement with the arms industry is being expanded. The original agreement had already provided for the delivery of a five-digit number of explosive projectiles in 155 millimeter caliber plus an option for further purchases. This option is now being significantly increased again by means of an amended agreement and is to be fully utilized by 2026. The high-performance ammunition can be used to attack area and point targets from a distance of up to 30 kilometers. The investment, with a volume of around 118 million euros, is being paid for from the defense budget."</t>
  </si>
  <si>
    <t>"On July 5, the Budget Committee of the German Bundestag approved the conclusion of the framework agreement and an initial call for ammunition. According to information available to ESuT, the framework agreement has a volume of up to 350,000 "complete" shots and runs until 2029. A firm order for 4,700 shots worth 27.3 million euros was placed for Ukraine, which are to be delivered by 2025. With the framework agreement, the Bundeswehr is securing production capacities in the sector of the currently highly sought-after artillery ammunition."</t>
  </si>
  <si>
    <t>"The framework agreement enables the delivery of initial lots and streamlines the acquisition of additional fuzes. The Bundeswehr has announced that the procurement project, which holds an approximate value of 118 million euros, will be fully utilized by 2026."</t>
  </si>
  <si>
    <t>DE115</t>
  </si>
  <si>
    <t>DE_155mm_2</t>
  </si>
  <si>
    <t>155mm howitzer ammunition</t>
  </si>
  <si>
    <t>Ammunition</t>
  </si>
  <si>
    <t>https://www.rheinmetall.com/en/media/news-watch/news/2023/7/2023-07-18-rheinmetall-receives-major-order-for-artillery-shells-by-bundeswehr</t>
  </si>
  <si>
    <t>https://www.bundeswehr-journal.de/2023/artilleriegeschosse-im-wert-von-rund-13-milliarden-euro/</t>
  </si>
  <si>
    <t>"The Budget Committee also approved the purchase of a significant quantity of 155-millimeter high-explosive ammunition to support Ukraine. It comes complete with fuses, propellant charges and propellant detonators and can also be used by other NATO Artillery systems such as the M777. The howitzer, which is used by the US armed forces, is also used by Ukraine. The order is to be delivered in the next two years. Another part of the approved proposal is the procurement of 155 millimeter explosive projectiles for the German army this year, which the army has already given to Ukraine. Around 128 million euros will be invested."</t>
  </si>
  <si>
    <t>"Furthermore, the Bundeswehr has expanded an existing framework agreement for DM121 ammunition. In addition to the framework contract cited above, this represents order volume of around €137 million, once again including VAT. The volume of the existing framework contract thus increases from €109 million to a total of €246 million, including VAT. Featuring insensitive characteristics, the DM121 high-explosive shell is used for training and exercise purposes. The first call-offs for service and practice ammunition from the framework contract cited above came as soon as the contract was signed. Delivery of shells worth €127 million (including VAT) is due take place shortly."</t>
  </si>
  <si>
    <t>DE115_a</t>
  </si>
  <si>
    <t>155mm artillery round DM121 for Ukraine</t>
  </si>
  <si>
    <t>DE115_b</t>
  </si>
  <si>
    <t>155mm artillery round DM121</t>
  </si>
  <si>
    <t>DE116</t>
  </si>
  <si>
    <t>Proximity fuse</t>
  </si>
  <si>
    <t>"To ensure that explosive projectiles detonate at the optimal distance from the target, they are fitted with proximity fuses. Another procurement project approved by the Budget Committee provides for the purchase of the necessary quantity of these proximity fuses. The fuses are intended for the Bundeswehr's own use. This order also covers the replacement of the proximity fuses that were sent to Ukraine. The funds come from the defense budget and from the federal government's capacity building initiative. The purchase price has been kept confidential."</t>
  </si>
  <si>
    <t>"Rheinmetall has been awarded a new framework contract for the supply of 155mm artillery ammunition, while an existing framework contract has been expanded. In all, the scope of delivery encompasses several hundred thousand shells of various types, including fuses and propelling charges"</t>
  </si>
  <si>
    <t>DE117</t>
  </si>
  <si>
    <t>120mm tank ammunition</t>
  </si>
  <si>
    <t>https://www.rheinmetall.com/de/media/news-watch/news/2023/07/2023-07-13-rheinmetall-erhaelt-grossauftrag-der-bundeswehr-ueber-panzermunition</t>
  </si>
  <si>
    <t>https://esut.de/2023/08/fachbeitraege/43533/gefechts-und-ausbildungsmunition-fuer-kampffahrzeuge-und-gewehre/</t>
  </si>
  <si>
    <t>"More ammunition is also needed than planned for the 120-millimeter on-board cannon of the Leopard 2 battle tank. The amount previously agreed with the arms industry is to be increased significantly. The ammunition will be used both to build up the Bundeswehr's ammunition stocks and to support Ukraine. In addition, the order will replace battle tank ammunition already delivered to Ukraine. The expenditure of 381 million euros will be covered partly from the defense budget and partly from the funds of the federal government's capacity building initiative."</t>
  </si>
  <si>
    <t>"The German Armed Forces have expanded an existing framework agreement with Rheinmetall for the supply of tank ammunition to a volume of around EUR 4 billion. The order underlines Rheinmetall's role as a major supplier of 120mm tank ammunition to the German Armed Forces. The order reflects the armed forces' efforts to close gaps in stocks and increase ammunition stocks overall in view of the security situation. The framework agreement also provides for the supply of a significant quantity of tank ammunition to the Ukrainian armed forces. By the end of 2030, several hundred thousand combat and training cartridges of various designs in 120mm x 570 caliber can be procured from the framework agreement that has now been concluded, such as those fired by the main weapon of the Leopard 2 battle tank. The first call for ammunition worth around EUR 309 million was made immediately after the contract was signed."</t>
  </si>
  <si>
    <t>"381.1 million euros have been earmarked for tank ammunition in caliber 120 mm x 570 for the Leopard 2's on-board cannon, almost a third of which will go to Ukraine. The German Army will receive over 40,000 rounds of DM11 (multipurpose) and DM73/DM63A1 (KE) as well as the corresponding training ammunition by 2025. Ukraine will receive 16,500 rounds of KE and multipurpose combat ammunition. In addition, the maximum quantities for the German Army for combat ammunition were increased to 120,800 to 142,500 and for Ukraine to 44,000 for each type of ammunition. According to Rheinmetall, this increases the value of the framework agreement to around four billion euros."</t>
  </si>
  <si>
    <t>DE117_a</t>
  </si>
  <si>
    <t>Leopard 2 ammunition</t>
  </si>
  <si>
    <t>DE117_b</t>
  </si>
  <si>
    <t>Leopard 2 ammunition for Ukraine</t>
  </si>
  <si>
    <t>DE118</t>
  </si>
  <si>
    <t>"The Puma infantry fighting vehicle is the main weapon system of the German Armored Infantry. Its 30-millimeter machine gun has enormous firepower. For this purpose, the German Armored Infantry Fighting Vehicle is calling up additional ammunition from the existing framework contract. The first call-up was made in 2022. The expenditure amounts to around 67.6 million euros and is covered by the defense budget."</t>
  </si>
  <si>
    <t>DE119</t>
  </si>
  <si>
    <t>7.62mm cartridge (training)</t>
  </si>
  <si>
    <t>Metallwerk Elisenhütte</t>
  </si>
  <si>
    <t>https://esut.de/2023/07/meldungen/43253/haushaltsausschuss-billigt-munitionsbeschaffung/</t>
  </si>
  <si>
    <t>"The German army’s machine guns – the MG3 and the MG5 – fire ammunition in NATO standard caliber 7.62 millimeters. Until now, the training or maneuver ammunition in this caliber was purchased with individual procurement contracts. Now, however, the Bundeswehr wants to purchase on a larger scale and thus create better availability for the troops and give the industry more planning security. Therefore, a large-volume framework agreement is being concluded with an ammunition manufacturer for belted maneuver ammunition - around 131 million euros are to be invested. To ensure that the Bundeswehr's future needs are met, a minimum annual delivery quantity was also agreed with the manufacturer in the framework agreement. This ensures the necessary additional planning security. The first deliveries are to take place in 2023 immediately after the contract is concluded."</t>
  </si>
  <si>
    <t>"Last but not least, the procurement of ammunition for small arms was on the agenda. In the framework agreement with Metallwerk Elisenhütte GmbH, a total delivery quantity of 135 million rounds of 7.62mm x 51 training ammunition was agreed, as required for combat training with rifles and machine guns. The value of the deliveries is estimated at 131.4 million euros. For the current year, 16 million rounds worth 15.6 million euros are to be called up immediately. The annual forecast is 32 million rounds. Annual forecasts of between 5.4 and 20 million rounds have been set for the following years up to 2029."</t>
  </si>
  <si>
    <t>DE120</t>
  </si>
  <si>
    <t>HUSAR system</t>
  </si>
  <si>
    <t>https://www.bmvg.de/de/aktuelles/aenderungsvertrag-projektfortfuehrung-neuer-auftragnehmer-5680352</t>
  </si>
  <si>
    <t>https://www.behoerden-spiegel.de/2023/09/26/13-neue-husar-systeme-fuer-die-bundeswehr/</t>
  </si>
  <si>
    <t>https://esut.de/2023/09/meldungen/44635/bundeswehr-beschafft-13-aufklaerungssysteme-husar/</t>
  </si>
  <si>
    <t>"At its meeting on 20 September, the Budget Committee of the German Bundestag approved the fourth amendment contract for the procurement of twelve series systems HUSAR (Highly efficient, unmanned system for medium-range imaging reconnaissance) and a training system. HUSAR is also known in industry as LUNA NG/B (Airborne Unmanned Close Reconnaissance Equipment Next Generation/Bundeswehr). The Budget Committee also approved an amendment to the contract for the timely development of new Eurofighter radars. The Bundeswehr will have a total of 13 new systems HUSAR. They will receive the so-called small aircraft target location (KZO). Twelve series systems and one training system are being procured. They are to be delivered to the troops from 2025. The fourth amendment contract specifies the measures that resulted from the takeover of the procurement contract by RTP after the insolvency of the original system manufacturer. The Budget Committee of the German Bundestag had to approve the amendment contract, particularly because it will result in additional costs compared to the old contracts. In principle, all procurements over 25 million euros must be approved by the Budget Committee of the Bundestag. The total contract value is around 290.9 million euros. Due to the payments already made to the original contractor, around 238.6 million euros of this still have to be financed through the defense budget."</t>
  </si>
  <si>
    <t>DE121</t>
  </si>
  <si>
    <t>E-Scan</t>
  </si>
  <si>
    <t>E-Scan radar for Eurofighter - contract adjustment</t>
  </si>
  <si>
    <t>Eurofighter Jagd Flugzeug</t>
  </si>
  <si>
    <t>https://esut.de/2023/09/meldungen/44639/entwicklung-des-neuen-eurofighter-radars-auf-neuer-basis/</t>
  </si>
  <si>
    <t>"The adjustment of a contract signed in 2020 for the German-Spanish development of a new radar for the Eurofighter is intended to ensure that the entire fleet is equipped as planned from 2028. All of the Air Force's Eurofighters will be equipped with a modern E-Scan radar. This will enable pilots to better detect and track air-to-air and air-to-ground targets. This should also be possible for several targets simultaneously and independently of one another. The new radar with electronic beam steering will also be more difficult to jam. Newly ordered fighter jets will be delivered directly with the E-Scan radar, as 38 Eurofighters will be arriving in service from 2025. They will replace the jets purchased between 2003 and 2008, whose overhaul can no longer be guaranteed for technical reasons. The radars will then be retrofitted to the remaining aircraft in the following years. The 197.7 million euros required for the treaty amendment will be financed from the regular defence budget."</t>
  </si>
  <si>
    <t>DE122</t>
  </si>
  <si>
    <t>Arrow 3</t>
  </si>
  <si>
    <t>https://www.bmvg.de/de/aktuelles/arrow-haushaltsausschuss-stimmt-beschaffung-zu-5690122</t>
  </si>
  <si>
    <t>https://www.bundeswehr-journal.de/2023/der-weg-ist-frei-fuer-das-neue-waffensystem-arrow-3/</t>
  </si>
  <si>
    <t>https://esut.de/2023/09/meldungen/44711/arrow-3-mbda-deutschland-wird-hauptauftragnehmer-von-iai/</t>
  </si>
  <si>
    <t>"The German army will buy the Arrow weapon system from the Israeli government. The investment of around four billion euros will be financed from the special fund. In addition to the delivery of the weapon system and the Arrow 3 guided missiles, the contract with the Israeli government also includes initial spare parts packages and training for the operating personnel. There will also be further support services and construction work in Germany. The Arrow weapon system consists of command posts, sensors and launchers with guided missiles and forms the core of the new territorial missile defense capability."</t>
  </si>
  <si>
    <t>"Yesterday, Thursday, Defense Minister Boris Pistorius and his Israeli counterpart Yoav Gallant signed a Joint Declaration of Intent in Berlin to procure the Arrow 3 missile defense system for the German Armed Forces. The President of the Federal Office of Bundeswehr Equipment, Information Technology and In-Service Support (BAAINBw), Annette Lehnigk-Emden, then signed the corresponding letter of commitment together with her counterpart from Israel. This was preceded by the US government's approval for Germany to procure the Arrow 3 weapon system. With the Arrow system, Germany wants to close the capability gap in the defense against ballistic missiles, particularly those with medium and long ranges. The missile defense system was developed in a joint project by Israel and the USA since the 1980s. The Israeli company Israel Aerospace Industries (IAI) and the US company Boeing were and are significantly involved. IAI and Boeing are also responsible for production."</t>
  </si>
  <si>
    <t>DE123</t>
  </si>
  <si>
    <t>Long-range autonomous underwater vehicle</t>
  </si>
  <si>
    <t>"The Budget Committee has also given the green light to other procurement projects: Four autonomous underwater vehicles will be purchased for 52.5 million euros through the regular defense budget. There is also the option to order a fifth Long-Range Autonomous Underwater Vehicle (LR-AUV). The underwater drones are used for long-range sonar-based underwater reconnaissance in water depths of up to 300 meters, for sea mine defense, for creating underwater situation images and maps, and for data collection. They are not armed and cannot clear detected mines themselves. They are used in conjunction with the Frankenthal-class minehunters (MJ332). In addition, the underwater drones can be used to detect spying attempts by other states. The four systems that have been commissioned will be delivered in 2024 and 2025. Therefore, five minehunters will also be equipped to accommodate the drones. Furthermore, the control of the drones will be integrated into the existing IMCMS (Integrated Mine Countermeasures System) command and weapon deployment system of the minehunters. The Frankenthal-class boats render mines harmless by using surface or underwater drones and/or mine divers."</t>
  </si>
  <si>
    <t>DE124</t>
  </si>
  <si>
    <t>Panzerabwehrrichtminen Deutsches Modell 22 (PARM DM22)</t>
  </si>
  <si>
    <t>TDW (MBDA Deutschland)</t>
  </si>
  <si>
    <t>https://www.bundeswehr.de/resource/blob/5705020/57eb11ffb43f4db8324d078b7a946770/35-panzerabwehrrichtminen-als-ersatz-fuer-ukraine-abgabe-dl-data.pdf</t>
  </si>
  <si>
    <t>https://www.bundeswehr-journal.de/2023/ersatz-neue-panzerabwehrrichtminen-fuer-die-truppe/</t>
  </si>
  <si>
    <t>"The Budget Committee has also approved the manufacture and delivery of an initial 2,600 German Model 22 anti-tank guided mines (PARM DM22). They are to be delivered from 2026. The approximately 68 million euros required for this come from item 60 of the federal budget, i.e. the funds for the federal government's capacity-building initiative. Background: The German army has given anti-tank mines to Ukraine to support the country in its defense against Russian aggression. The replacement will now be financed from funds from the capacity building initiative, which supports selected partner states with military material, equipment and training. It is a budget item managed jointly by the Foreign Office and the Ministry of Defense. The framework agreement with the manufacturer of the anti-tank mines provides for the possible order of a further 10,000 units. With the Bundeswehr refocusing on national and alliance defense, anti-tank mines have become more important again. They are used to delay the enemy's advance. Anti-tank mines are mainly used to secure roads and paths against enemy vehicles."</t>
  </si>
  <si>
    <t>"To replace the material handed over to the Ukrainian armed forces, the Koblenz-based Federal Office of Bundeswehr Equipment, Information Technology and In-Service Support (BAAINBw) is now procuring, among other things, 2,600 anti-tank mines of the type "German Model 22", or PARM DM22 for short. "To this end, the BAAINBw signed a corresponding contract today (November 14) with the Schrobenhausen-based TDW Gesellschaft für verteidigungstechnische Wirksysteme mbH, a subsidiary of MBDA Deutschland GmbH. The contract includes an option for a further 10,000 PARM DM22 systems. The Bundestag's budget committee had previously approved the procurement project with a total volume of around 68 million euros. The agreement provides for the firm order and immediate call-off of the 2,600 directional mines from funds from individual plan 60, which is used, among other things, to finance military aid for Ukraine. It was also contractually agreed in Koblenz that orders for up to a further 10,000 mines can be placed in batches of 1,000 each. The directional mine, mounted on a tripod, is used against battle tanks and armoured combat vehicles (as was already the case in the Ukraine war against Russian troops)."</t>
  </si>
  <si>
    <t>DE125</t>
  </si>
  <si>
    <t>"Furthermore, the purchase of new radio equipment was approved. The joint, network-capable radio equipment (SVFuA) will be financed both through the regular defense budget and through the Bundeswehr special fund. Over 130 million euros will be invested in this. The radios will be delivered to the Bundeswehr between 2023 and 2025 and are intended for four projects: the Puma infantry fighting vehicle, the Army's combat training center, the fire units of the air defense system IRIS-T SLM and for the command posts of the division, which the Bundeswehr [will make available to NATO] from 2025 (Division 2025). With the devices, the troops will gradually receive a uniform communication equipment for voice and data communication up to the classifications “Secret” and “NATO Secret”."</t>
  </si>
  <si>
    <t>DE126</t>
  </si>
  <si>
    <t>Encrypted telephone</t>
  </si>
  <si>
    <t>"The Bundeswehr's communication systems must meet current and future security requirements. The Bundeswehr has therefore commissioned the procurement of 1,350 multi-crypto telephones in a robust version. As part of the crypto modernization of the armed forces, the ISDN-based crypto devices currently in use are being replaced by IP-based multi-crypto telephones. They allow encrypted communication over the Internet. This also includes further developments for communication within the alliance up to the classification “NATO Secret” are planned, which can be added as software updates. The devices are to be delivered to the Bundeswehr between 2024 and 2026. If all options for the devices are selected, the investment volume will be around 70 million euros. The procurement of a version of the crypto phones for indoor use is subject to a separate approval process. The devices are financed through the Bundeswehr special fund."</t>
  </si>
  <si>
    <t>DE127</t>
  </si>
  <si>
    <t>Cryptographic and radio device for Patriot system</t>
  </si>
  <si>
    <t>"The special fund will also be used to purchase new cryptographic and radio equipment for the radio relay systems of the weapon system Patriot. The Budget Committee has approved the order for around 40.5 million euros. The total of 51 devices will be delivered between 2025 and 2027 to equip the anti-aircraft missile system Patriot [and] continue to modernize [] ground-based air defense. "</t>
  </si>
  <si>
    <t>DE128</t>
  </si>
  <si>
    <t>Receiver card for GPS M-Code</t>
  </si>
  <si>
    <t>"Finally, a total of 9,058 recipient cards will be issued for around 51.5 million euros. GPS M-Code was purchased from the US government and financed from the special fund. The maps will be delivered between 2025 and 2028 and integrated into navigation devices in vehicles and naval units. This will increase the Bundeswehr's ability to navigate safely, reliably and with greater resilience to attempts at jamming."</t>
  </si>
  <si>
    <t>DE129</t>
  </si>
  <si>
    <t>German Heron TP demonstration - additional services</t>
  </si>
  <si>
    <t>Airbus DS Airborne Solutions</t>
  </si>
  <si>
    <t>https://www.bmvg.de/de/aktuelles/drohne-heron-tp-mittel-fuer-flugbetrieb-in-deutschland-5700956</t>
  </si>
  <si>
    <t>https://www.bundeswehr.de/de/organisation/luftwaffe/aktuelles/die-drohne-german-heron-tp-erhaelt-die-deutsche-musterzulassung-5538042</t>
  </si>
  <si>
    <t>"With its decision, the Budget Committee has now cleared the way for a six-month demonstration operation of the GHTP project in Germany, during which the system can be tested in German airspace. The aircraft and support services are provided by the civil operator Airbus DS Airborne Solutions GmbH (ADAS) of the German Armed Forces. The demonstration operation with the GHTP for the purposes of national and alliance defense will take place at the Jagel site near Schleswig, where the Tactical Air Force Wing 51 "Immelmann" is also stationed. Since the end of last year, the Israeli drone system has had a type approval for operation in Germany. The GHTP is a market-available system with modifications for the operational needs of the German Armed Forces and will assume the ability to reconnaissance, surveillance and support the forces on the ground until the introduction of the Eurodrone from 2030. The contract amendment for operational operations and the additional services commissioned to ensure the system's information security and to adapt the supply of spare parts will result in expenditure of 59 million euros. These will be financed from the regular defense budget."</t>
  </si>
  <si>
    <t>DE130</t>
  </si>
  <si>
    <t>Military vehicle maintentance - contract extension (10 years)</t>
  </si>
  <si>
    <t>Heeresinstandsetzungslogistik (HIL)</t>
  </si>
  <si>
    <t>"In addition, Parliament approved a contract amendment with Army Maintenance Logistics (HIL) GmbH. HIL maintains large military equipment for the German Army's land forces and is therefore responsible for the proper functioning of the vehicles in basic operations as well as during exercises and operations. HIL is a wholly owned subsidiary of the federal government. With further investments, it is to remain a reliable partner of the Bundeswehr in the future. In line with the expanded tasks of the Bundeswehr and the refocusing on the core mission of national and alliance defense, the capacities of HIL increased even further and the services further developed. The 13.4 billion euros now approved for the period 2024 to 2034 will be financed from the regular defense budget and is one of the largest 25 million euro proposals of the current fiscal year."</t>
  </si>
  <si>
    <t>DE131</t>
  </si>
  <si>
    <t>Dingo 2 A4.1</t>
  </si>
  <si>
    <t>https://www.bmvg.de/de/aktuelles/beschaffung-dingos-und-seefernaufklaerer-gebilligt-5703856</t>
  </si>
  <si>
    <t>https://soldat-und-technik.de/2023/11/mobilitaet/36064/bundeswehr-beschafft-50-dingo-2-a4-1-auf-modernem-unimog-fahrgestell/</t>
  </si>
  <si>
    <t>https://esut.de/2023/11/meldungen/45602/nachbeschaffung-von-50-dingo-2-a4-1-gebilligt/</t>
  </si>
  <si>
    <t>"The green light was given specifically for the purchase of 50 protected Dingo 2 A4.1 command and functional vehicles for a total of around 150 million euros. They are being financed through the so-called upgrade title, as the Bundeswehr has given its own Dingos to Ukraine to support the country in its defense against Russian aggression. These vehicles are now being replaced and are to be delivered to the Bundeswehr in 2026."</t>
  </si>
  <si>
    <t>"On November 15, the Budget Committee of the German Bundestag approved the replacement purchase of 50 Dingo 2 patrol and security vehicles in version A4.1. At the end of last year, the army delivered the same number of Dingos with special tools to Ukraine.  The framework agreement to be concluded with the manufacturer is to cover a total of 233 vehicles with a term of seven years. The 50 vehicles for the replacement purchase are to be firmly ordered upon conclusion of the contract, with a delivery of two Dingos as proof samples in 2025 and delivery of the series in the following year. A special tool kit will be delivered in advance in 2024. The Budget Committee has made 133 million euros available for this. The vehicles will be equipped with radio (D-LBO) and navigation equipment (ERGR 2), which will cost a further 14 million euros. This results in total costs for the first 50 Dingos of 147 million euros. The financing will come from funds from the Federal Government's upgrading initiative in Section 60."</t>
  </si>
  <si>
    <t>DE132</t>
  </si>
  <si>
    <t>https://www.bmvg.de/de/aktuelles/beschaffung-die-bundeswehr-hat-den-turbo-eingelegt-5718690</t>
  </si>
  <si>
    <t>https://www.bundeswehr-journal.de/2023/drei-zusaetzliche-seefernaufklaerer-aus-dem-sondervermoegen/</t>
  </si>
  <si>
    <t>"In addition, three more P-8A Poseidon maritime patrol aircraft can be ordered from the US government. The required almost 1.1 billion euros come from the Bundeswehr special fund. In 2021, the budget committee had already approved the funds for five aircraft. The procurement of a simulator for the future crews of the eight aircraft in total has also already been approved by the committee. The P-8A Poseidon from the US manufacturer Boeing will take over submarine hunting and maritime patrol from the P-3C Orion as an interim solution from the end of 2024. In the long term, these capabilities are to be expanded through the German-French cooperation project Maritime Airborne Warfare System (MAWS) are covered."</t>
  </si>
  <si>
    <t>"The German Navy will also receive three P-8A "Poseidon maritime patrol aircraft and submarine hunters. The aircraft will be financed from the Bundeswehr special fund. A corresponding supplementary contract to the five Poseidon systems already ordered was signed on Tuesday of this week (November 21) by the President of the Federal Office of Bundeswehr Equipment, Information Technology and In-Service Support (BAAINBw), Annette Lehnigk-Emden. The three aircraft and an extended initial spare parts package will be procured as part of an existing agreement with the US Navy. This agreement is based on a government purchase agreement with the USA (“Foreign Military Sales” procedure) for the acquisition of an initial five aircraft, the procurement of a simulator for training and education purposes, and all necessary support services for the start of flight operations."</t>
  </si>
  <si>
    <t>DE133</t>
  </si>
  <si>
    <t>IR-BIRDIE decoy target</t>
  </si>
  <si>
    <t>https://www.bmvg.de/de/aktuelles/bundestag-genehmigt-beschaffung-von-flares-und-fahrschulpanzern-5711904</t>
  </si>
  <si>
    <t>https://www.rheinmetall.com/en/media/news-watch/news/2024/01/2024-01-15-birdie-ir-decoys-for-bundeswehr-aircraft</t>
  </si>
  <si>
    <t>https://esut.de/2023/12/meldungen/45973/beschaffungen-von-taeuschkoerpern-und-fahrschulpanzern-leopard-2-gebilligt/</t>
  </si>
  <si>
    <t>"According to the decision of the Budget Committee, the Bundeswehr can buy up to 476,280 new decoys for 49.3 million euros. They will be delivered between 2024 and 2029. The procurement will be financed through the regular defense budget. The procurement had to be submitted to the committee because the investment exceeds 25 million euros. These are decoys of the type IR-BIRDIE (Bispectral Infrared Decoy Improved Efficiency) 118 BS and IR-BIRDIE 218. The infrared decoys are fired from helicopters, transport aircraft and jets to divert approaching surface- to-air missiles (SAM) or air-to-air missiles (AAM) with infrared homing heads. The decoys, known as flares, simulate or mask the hot engine exhaust gases emitted by the aircraft with their infrared radiation."</t>
  </si>
  <si>
    <t>"The Bundeswehr has awarded Rheinmetall a substantial order for decoy flares for protecting aircraft. The German military can now procure over 470,000 decoys from Rheinmetall’s tried-and-tested Birdie product line. Covering the period December 2023 to December 2029, the contract is worth nearly €50 million. Birdie is an acronym standing for “Bispectral Infrared Decoy Improved Efficiency”. Marketed by Rheinmetall Waffe Munition GmbH of Fronau, these infrared decoys, or ‘flares’, are ejected from helicopters, transport planes and jets to distract oncoming infrared-homing guided missiles. The flares simulate the heat signature of exhaust gases emitted by the aircraft engine."</t>
  </si>
  <si>
    <t>DE134</t>
  </si>
  <si>
    <t>Main Battle Tank (MBT) (training)</t>
  </si>
  <si>
    <t>Tank</t>
  </si>
  <si>
    <t>"With the current approval from the Bundestag, the German army can buy 16 Leopard 2 driving school tanks in the A6 A3 version and 8 Leopard 2 driving school tanks in the A7V version. The investment package also includes appropriate training equipment such as driving simulators. The required approximately 192 million euros will come from the German army's special fund. The driving school tanks will be delivered between 2026 and 2029. The framework agreement with the manufacturer of the driving school tanks provides that up to 32 driving school tanks in version 2 A7V can be ordered for around 277 million euros. Partner nations or allies who also use the Leopard 2 main battle tank can participate in this option. The Leopard 2 is one of the main weapon systems in the German Army. It is one of the most modern main battle tanks in the world."</t>
  </si>
  <si>
    <t>"The Bundeswehr's Leopard 2 driving school tanks have been worn out after more than 40 years of use and are now more technically equivalent to the combat vehicles for which the drivers are trained. After the budget committee of the German Bundestag approved the funds, the Bundeswehr can now buy 16 Leopard 2 driving school tanks in the A6 A3 version and 8 Leopard 2 driving school tanks in the A7V version, as the BMVg writes. The procurement will be supplemented by other training resources such as driving simulators. In a framework agreement with the manufacturer KNDS, the German Armed Forces wants to agree on the delivery of up to 56 driving school tanks. Around 192 million euros are earmarked for the 24 driving school tanks mentioned above. An option has been agreed for the procurement of a further 32 driving school tanks. The price for this is estimated at 277 million euros. Partner nations or allies who also use the Leopard 2 battle tank can participate in this second tranche. The first tranche is to be financed from the Bundeswehr special fund. The delivery period agreed is from 2026 to 2029."</t>
  </si>
  <si>
    <t>DE134_a</t>
  </si>
  <si>
    <t>Leopard 2 A6 A3 (training)</t>
  </si>
  <si>
    <t>DE134_b</t>
  </si>
  <si>
    <t>Leopard 2 A7V (training)</t>
  </si>
  <si>
    <t>DE135</t>
  </si>
  <si>
    <t>DE_155mm_4</t>
  </si>
  <si>
    <t>155mm artillery round for Ukraine</t>
  </si>
  <si>
    <t>Nexter</t>
  </si>
  <si>
    <t>https://www.bmvg.de/de/aktuelles/ukraine-unterstuetzung-deutschland-beschafft-artilleriemunition-5717012</t>
  </si>
  <si>
    <t>https://www.hartpunkt.de/bmvg-will-bis-maerz-mehr-als-90-000-schuss-artilleriemunition-liefern/</t>
  </si>
  <si>
    <t>"A French arms company is producing 68,000 explosive projectiles for the Ukrainian armed forces for 278 million euros. The project is being financed through the upgrade title in budget line 60. Selected partner states are receiving military equipment and material through the Federal Government's upgrade initiative."</t>
  </si>
  <si>
    <t>"According to experts, the signing of a contract with the French arms company and ammunition producer Nexter is imminent. Last week, the Budget Committee of the German Bundestag gave the green light to a framework agreement on the production of new artillery shells with the French manufacturer. According to a statement from the BMVg, a total of 68,000 explosive shells will be produced for the Ukrainian armed forces for 278 million euros. The project will be financed via the upgrade title in individual plan 60. The framework agreement with the manufacturer offers the option of producing and delivering up to 350,000 projectiles, the statement said. Other countries can also participate in the project because it is part of the EU ammunition initiative to accelerate the delivery, procurement and production of ammunition for Ukraine."</t>
  </si>
  <si>
    <t>DE136</t>
  </si>
  <si>
    <t>H145M helicopter</t>
  </si>
  <si>
    <t>https://www.bmvg.de/de/aktuelles/beschaffung-kampfhubschrauber-kryptotelefone-und-weitere-5716992</t>
  </si>
  <si>
    <t>https://www.bundeswehr-journal.de/2024/bis-zu-82-mehrzweckhubschrauber-h145m-fuer-die-truppe/</t>
  </si>
  <si>
    <t>https://esut.de/2023/12/meldungen/46436/ab-2024-erhaelt-die-bundeswehr-bis-zu-82-leichte-kampfhubschrauber-h145m/</t>
  </si>
  <si>
    <t>"The German Armed Forces will purchase 62 H145M light combat helicopters. The procurement, worth a total of around 2.63 billion euros, will be financed from the German Armed Forces special fund and, from 2028, from the regular defense budget. The investment includes weapons and ammunition for training, spare parts, deployment packages for operations, training simulators and other training resources, initial training and additional extensive support services. The first machines are to be delivered to the Fritzlar, Bückeburg, Laupheim, Niederstetten and Faßberg sites from next year until 2028. Until a decision is made on the successor to the Tiger attack helicopter, the H145M will serve as a bridging solution to provide ground-level air support to defend against armoured units. The contract with the manufacturer provides that 20 more helicopters can be ordered if required."</t>
  </si>
  <si>
    <t>"The Federal Office of Bundeswehr Equipment, Information Technology and In-Service Support (BAAINBw) and Airbus Helicopters recently signed a contract for the purchase of up to 82 H145M military multi-purpose helicopters - 62 firm orders plus 20 options. This is the largest order ever placed for the H145M (and also the largest for the "HForce" weapons management system). The contract also includes seven years of support and service. 57 helicopters are intended for the German Army, and the German Air Force's special forces are to receive five H145M machines."</t>
  </si>
  <si>
    <t>"In the first step, the framework agreement contains a firm order for 62 aircraft, which are to be delivered between 2024 and 2028. The multi-role helicopters will be delivered with mission equipment for the roles of combat (24 units), training/professionalization (33 units) and SOF (Special Operation Forces, five units). In the basic version, the helicopters are equipped with the H-Force weapons management system, which enables customized armament with appropriate reconnaissance and fire control systems. According to the BAAINBw, the framework agreement includes not only the manufacture and delivery of the helicopters, but also spare parts, eight training simulators, the training of flying and technical personnel, and extensive service for the operation of the helicopters over a period of seven years."</t>
  </si>
  <si>
    <t>DE137</t>
  </si>
  <si>
    <t>BvS10 Collaborative All Terrain Vehicle (CATV) communication equipment</t>
  </si>
  <si>
    <t>https://esut.de/2022/12/meldungen/38718/bundeswehr-erhaelt-catv-ueberschneefahrzeug/</t>
  </si>
  <si>
    <t>https://www.behoerden-spiegel.de/2024/01/10/mehrkosten-bei-catv/</t>
  </si>
  <si>
    <t>"The committee also approved a contract amendment for the purchase of snow vehicles. A total of 367 Collaborative All-Terrain Vehicles (CATV) was commissioned by the German army. Parliament had already approved the purchase. They will replace the aging BV 206 S Hägglunds model. Snow-covered vehicles are intended for transport in extremely difficult terrain. It is a multinational project involving Sweden and Great Britain. The contract change results from the integration of the communications equipment, because the interfaces for installation had not yet been defined when the contract was signed. The integration will now take place directly as part of the procurement project. The necessary additional costs of around 64 million euros will be provided by the Bundeswehr special fund."</t>
  </si>
  <si>
    <t>DE138</t>
  </si>
  <si>
    <t>SONIX system</t>
  </si>
  <si>
    <t>https://www.bundeswehr-journal.de/2024/ergaenzungsbeschaffung-unterwasser-lagedarstellung/</t>
  </si>
  <si>
    <t>https://www.hartpunkt.de/vertrag-fuer-unterwasserortungssysteme-geschlossen/</t>
  </si>
  <si>
    <t>"Additional underwater positioning systems will also be purchased from the special fund. 11 Sonix underwater situation display systems (ULD) can be purchased for 99.8 million euros. The systems will be delivered between 2024 and 2026. Training and spare parts packages are included in the price. There is the option to order 12 additional systems. Sonix is ​​a mobile system that can be used on all boats and ships of the German Navy. It is a sonar buoy processor that collects data from NATO sonar buoys. The situation display system can display the contacts of the buoys."</t>
  </si>
  <si>
    <t>DE139</t>
  </si>
  <si>
    <t>SINA Communicator H encrypted telephone</t>
  </si>
  <si>
    <t>https://www.secunet.com/fileadmin/user_upload/02_Downloads/Produkt-_und_Serviceseiten_Brosch%C3%BCren_und_Factsheets/SINA_Produkte/Technische_Info/Factsheets_Englisch/SINA_Communicator_H_Factsheet_EN.pdf</t>
  </si>
  <si>
    <t>"The budget committee has also approved the purchase of additional crypto phones. 34.78 million euros will be invested in the purchase and further development of 1,001 SINA Communicator H devices. An additional 324 devices can also be purchased according to an agreement with the manufacturer. The procurement is part of the Bundeswehr's crypto modernization. The new devices will replace outdated ISDN encryption telephones. In October, the budget committee already approved the purchase of new, robust crypto telephones."</t>
  </si>
  <si>
    <t>DE140</t>
  </si>
  <si>
    <t>IRIS-T AIM-2000 missile</t>
  </si>
  <si>
    <t>https://www.bmvg.de/de/aktuelles/parlament-genehmigt-lenkflugkoerper-beschaffung-5716966</t>
  </si>
  <si>
    <t>https://www.bundeswehr-journal.de/2023/1200-lenkflugkoerper-iris-t-fuer-die-deutschen-streitkraefte/</t>
  </si>
  <si>
    <t>https://esut.de/2023/12/meldungen/46336/rahmenvertrag-fuer-bis-zu-1-280-lenkflugkoerper-iris-t-abgeschlossen/</t>
  </si>
  <si>
    <t>"The Air Force's Eurofighters and Tornados are armed with the IRIS-T air-to-air guided missile to engage air targets at short distances. The almost three-meter-long guided missile has an infrared seeker head that can distinguish between the target's heat source and infrared decoys. The proven short-range guided missiles have been in use since 2005. The 120 guided missiles plus accessories ordered are for replacement as part of the support for Ukraine. The German army is giving 120 guided missiles to Ukraine for its defense against Russian aggression. The new guided missiles will therefore be financed for around 108 million euros from the upgrade item in budget line 60. The federal government's upgrade initiative supports partner states with military equipment. The guided missiles are scheduled to be delivered in 2026. The initial 120 guided missiles are part of a framework agreement with the manufacturer for the possible production and delivery of up to 1,280 guided missiles."</t>
  </si>
  <si>
    <t>"The German Armed Forces will receive more than 1,200 IRIS-T guided missiles. The President of the Federal Office of Bundeswehr Equipment, Information Technology and In-Service Support (BAAINBw), Annette Lehnigk-Emden, and Helmut Rauch, CEO of Diehl Defence, signed a corresponding framework contract for the procurement today (December 20). Diehl Defence is a leading systems house for air defence systems and general contractor in the IRIS-T programme; its headquarters are in Überlingen on Lake Constance."</t>
  </si>
  <si>
    <t>DE141</t>
  </si>
  <si>
    <t>Patriot air defence munition</t>
  </si>
  <si>
    <t>https://defence-network.com/bundeswehr-erhaelt-weitere-pac-2-gem-t-fuer-ihre-patriot/</t>
  </si>
  <si>
    <t>https://www.hartpunkt.de/milliardensumme-fuer-neue-flugkoerper/</t>
  </si>
  <si>
    <t>"The Committee also approved the purchase of 500 guided missiles with spare parts for the anti-aircraft missile system Patriot. Patriot can combat aircraft, rockets and cruise missiles. The mobile weapon system was developed in particular to strengthen the NATO eastern flank, but also delivered to Ukraine. A total of 3.01 billion euros will now be invested. 400 guided missiles will be purchased for around 2.4 billion euros over the next few years through the Bundeswehr's special fund and will then be financed through the regular defense budget. The funds for 100 guided missiles, amounting to around 602 million euros, will come from the upgrade title, as this number was also handed over to Ukraine. Procurement is handled by the NATO Support and Procurement Agency (NSPA). Other nations are also participating in the agreement with the manufacturer. The guided missiles are to be delivered between 2027 and 2033."</t>
  </si>
  <si>
    <t>DE142</t>
  </si>
  <si>
    <t>DE143</t>
  </si>
  <si>
    <t>Meteor missile update</t>
  </si>
  <si>
    <t>https://www.bundeswehr.de/de/organisation/luftwaffe/aktuelles/meteor-ein-erfolgsprojekt-aus-sechs-nationen-5086646</t>
  </si>
  <si>
    <t>https://esut.de/2019/12/meldungen/ruestung2/17323/bundestag-billigt-haushaltsmittel-fuer-zusaetzliche-luft-luft-lenkflugkoerper-meteor/</t>
  </si>
  <si>
    <t>"In order to maintain superiority in air combat into the 2040s, the German Army can also commission research into an update of the Meteor air-to-air guided missile. The German Air Force's Eurofighters will be armed with Meteor guided missiles. They will enable the fighter jet pilots to engage targets outside their visual range. For example, possible adjustments to the radar seeker, the propulsion system, the data link and the warhead are now being analyzed for 34.9 million euros. The investigations are scheduled to begin next year and the reports on the possible adjustments are due to be available in 2025. Five other European nations are involved in the project."</t>
  </si>
  <si>
    <t>DE144</t>
  </si>
  <si>
    <t>Ground based air defence system development</t>
  </si>
  <si>
    <t>Diehl Defense</t>
  </si>
  <si>
    <t>https://www.bmvg.de/de/aktuelles/entwicklung-luftverteidigungssystems-landoperationen-5726548</t>
  </si>
  <si>
    <t>https://www.rheinmetall.com/de/media/news-watch/news/2024/01/2024-01-25-startschuss-fuer-luftverteidigungssystem-nnbs</t>
  </si>
  <si>
    <t>https://soldat-und-technik.de/2024/01/bewaffnung/36601/entwicklungsauftrag-luftverteidigungssystem-nah-und-naechstbereichsschutz-erteilt/</t>
  </si>
  <si>
    <t>"The Budget Committee of the German Bundestag has approved financial means for the production of prototypes of an air defence system for short and very short-range protection. This clears the way for the development of a new system based on the Boxer wheeled armoured vehicle. In order to close the existing capability gaps in ground-based air defense, work can begin on developing a system to protect a troop unit against attacks from the air and to detect and defend against drones. The core elements of such a network for short- and very short-range protection will probably be a command post, fire control tanks, radar equipment and anti-aircraft missile tanks. For air defence, the components are to be based on the GTK (Armoured transport vehicle) Boxer will be installed. The guided missiles will be IRIS-T SLS the ground-to-air variant of the IRIS-T will be used. The budget committee has approved 1.23 billion euros for the development of a first copy of the most important components. The investment will initially be financed from the Bundeswehr's special fund. The project will then be continued in the regular defense budget. A prototype of the system is scheduled to be available in 2028."</t>
  </si>
  <si>
    <t>"The Federal Office of Bundeswehr Equipment, Information Technology and In-Service Support (BAAINBw) and the Close and Very Close-Range Protection Working Group (ARGE NNbS) signed the development contract for the Close and Very Close-Range Protection Air Defense System (LVS NNbS) today, January 25, 2024. The ARGE NNbS, founded in 2021, includes the companies Rheinmetall Electronics GmbH (Bremen), Diehl Defence GmbH &amp; Co. KG (Überlingen) and Hensoldt Sensors GmbH (Taufkirchen). The contract has a gross volume of around EUR 1.2 billion, which is broken down among the partner companies according to their performance shares as follows: Rheinmetall EUR 607 million, Diehl EUR 339 million and Hensoldt EUR 284 million. In order to do justice to Germany's role in NATO as a leading nation in ground-based air defense and in the European Skyshield Initiative, the introduction of the LVS NNbS is a decisive step and thus closes a significant capability gap in the Bundeswehr."</t>
  </si>
  <si>
    <t>DE145</t>
  </si>
  <si>
    <t>https://www.bmvg.de/de/aktuelles/bundestag-bewilligt-ruestungsinvestitionen-in-milliardenhoehe-5745072</t>
  </si>
  <si>
    <t>"A total of around 2.2 billion euros will be invested in the continuous supply of the Bundeswehr with clothing and personal equipment. This essentially involves the procurement of combat clothing, protective vest systems, combat helmets and 110-litre backpack systems in continuation of the early procurements commissioned in 2022. In addition, there is the procurement and regeneration of clothing and equipment for the special forces as well as the introduction of a new Marine Bord clothing system. The investment also includes operating expenses for the continued financing and expansion of storage capacities of the Bw clothing management GmbH as well as maintaining a mobile operational supply."</t>
  </si>
  <si>
    <t>DE146</t>
  </si>
  <si>
    <t>Skyranger</t>
  </si>
  <si>
    <t>https://www.bmvg.de/de/aktuelles/bundestag-stimmt-beschaffung-von-flugabwehrkanonenpanzern-zu-5747668</t>
  </si>
  <si>
    <t>https://www.hessenschau.de/politik/fuer-fast-600-millionen-euro-bundeswehr-bestellt-flugabwehr-panzer-aus-werk-in-kassel-v1,rheinmetall-bundeswehr-skyranger-100.html</t>
  </si>
  <si>
    <t>https://www.zdf.de/nachrichten/politik/deutschland/skyranger-bundeswehr-flugabwehr-100.html</t>
  </si>
  <si>
    <t>"A new weapon system based on the GTK (Armoured transport vehicle) Boxer is intended to protect land forces from drones in the future. A "subsystem component" can now be developed, manufactured and procured for this purpose. Because drones are a major threat to land forces, the project is being implemented early. The Budget Committee of the German Bundestag approved this in its meeting on February 21, 2024. 
The Ministry of Defence is permitted to conclude a framework contract for anti-aircraft gun tanks for the future “Air Defence System for Short and Very Close Range Protection” (LVS NNbS). The 19 vehicles and additional services that have been ordered cost around 649 million euros. The weapon system is intended to protect land forces against attacks from the air, even when they are on the move. It is also suitable for protecting critical infrastructure. The first vehicle is expected to be delivered for testing in the fourth quarter of 2024, and the 18 series vehicles will arrive in the troops from September 2026. Delivery is expected to be completed by 2028. The necessary expenditure will be financed mainly from the Bundeswehr special fund. The framework agreement also enables the ordering of additional vehicles."</t>
  </si>
  <si>
    <t>"The new Skyranger wheeled armored vehicle, which the German army ordered in large numbers this week, comes in camouflage colors, with eight wheels and a gun mount. The 19 new air defense systems are expected to cost 595 million euros - that's the equivalent of almost eight Boeing 737s. The new system consists of two components. Part one, the gun turret, comes from Rheinmetall Air-Defence in Zurich, a Rheinmetall spokesman told hessenschau.de. The mobile vehicle, a Boxer tank, is produced by Artec, a joint subsidiary of Rheinmetall and Krauss-Maffei Wegmann, in Kassel."</t>
  </si>
  <si>
    <t>DE147</t>
  </si>
  <si>
    <t>https://www.bmvg.de/de/aktuelles/weitere-nachtsichtgeraete-truppe-5757530</t>
  </si>
  <si>
    <t>https://soldat-und-technik.de/2024/01/ausruestung-bekleidung/36703/zusaetzliche-nachtsichtgeraete-fuer-deutschland-und-belgien/</t>
  </si>
  <si>
    <t>https://defence-network.com/nachtsichtbrillen-fuer-die-bundeswehr/</t>
  </si>
  <si>
    <t>"The Budget Committee has approved the procurement of 16,041 night vision devices - so-called image intensifier goggles - as well as 8,423 associated head-mounted systems and corresponding services. The required almost 162 million euros come from the Bundeswehr's special fund. This is an option order for additional devices from an existing framework agreement."</t>
  </si>
  <si>
    <t>"On January 26, 2024, the Organisation for Joint Armaments Cooperation OCCAR signed a second contract supplement to an existing contract for binocular night vision devices (BNVG) and in-service support for Belgium and Germany with a consortium consisting of HENSOLDT Optronics GmbH and THEON SENSORS SA in Bonn. The newly signed second contract supplement includes 3,500 night vision devices for Belgium and 16,041 night vision devices and 8,423 head mounts for Germany. The latter two still need to be approved by the German parliament, which the consortium expects to happen at the end of the first quarter of 2024. In addition, the contract includes an option for up to 25,000 additional night vision devices each for Belgium and Germany. This gives both participating states the opportunity to purchase additional quantities without further negotiations."</t>
  </si>
  <si>
    <t>DE147_a</t>
  </si>
  <si>
    <t>DE147_b</t>
  </si>
  <si>
    <t>MIKRON night vision device (headwear)</t>
  </si>
  <si>
    <t>DE148</t>
  </si>
  <si>
    <t>AESA-Radar/E-SCAN development for Eurofighter - contract adjustment</t>
  </si>
  <si>
    <t>"A new radar with electronic beam steering (AESA/E-SCAN). The Budget Committee has also approved a necessary contract adjustment for the purpose of testing and verification. The costs for the development measure amount to 102 million euros and are financed from the special fund. With the development of the new radar system, the Eurofighter will continue to meet the capability requirements of a modern combat aircraft. This means that the weapon system can remain the backbone of the Air Force in the area of ​​air-based air defense and air attack capabilities for a long time to come."</t>
  </si>
  <si>
    <t>DE149</t>
  </si>
  <si>
    <t>Patriot air defence system</t>
  </si>
  <si>
    <t>https://www.bmvg.de/de/aktuelles/bundestag-genehmigt-kauf-von-patriot-systemen-und-sprechsaetzen-5761098</t>
  </si>
  <si>
    <t>https://www.rtx.com/news/news-center/2024/03/21/rtxs-raytheon-awarded-1-2-billion-contract-to-provide-patriot-air-and-missile-d</t>
  </si>
  <si>
    <t>"At its meeting on 20 March 2024, the Budget Committee of the Bundestag approved the procurement of further Patriot air defence systems and new communication sets with hearing protection function. With the committee’s decision, the Bundeswehr can employ four new Patriot systems and conversion kits for the Patriot radar equipment. The required almost 1.4 billion euros will come from both the Bundeswehr special fund and the regular defense budget. Since the Bundeswehr has [sent] two Patriot systems to Ukraine, around half of the funding will come from the funds earmarked in the federal budget for upgrading partner states. The services to the Bundeswehr are to be fully provided by 2029."</t>
  </si>
  <si>
    <t>"TUCSON, Ariz. , March 21, 2024 /PRNewswire/ -- Raytheon, an RTX (NYSE: RTX) business, was awarded a $1.2 billion contract to supply Germany with Patriot® air and missile defense systems. These systems will augment Germany's existing air defense infrastructure with additional Patriot equipment. The scope of the contract includes the most current Patriot Configuration 3+ radars, launchers, command and control stations, associated spares, and support."</t>
  </si>
  <si>
    <t>DE150</t>
  </si>
  <si>
    <t>DE151</t>
  </si>
  <si>
    <t>https://www.rheinmetall.com/de/media/news-watch/news/2024/04/2024-04-24-rheinmetall-gewinnt-rahmenvertrag-sprechsatz-mit-gehoerschutzfunktion</t>
  </si>
  <si>
    <t>https://esut.de/2024/03/meldungen/48319/bundeswehr-beschafft-30-000-sprechsaetze-mit-gehoerschutz/</t>
  </si>
  <si>
    <t>"The German Armed Forces is also signing a framework agreement for headsets with hearing protection. The procurement of the first 30,000 units, valued at 81 million euros, was approved by the Budget Committee. These are to be delivered this year. Compared to the current equipment, the headsets with hearing protection offer the possibility of communicating at close range and perceiving ambient noise without a connected radio while protecting the hearing. They are compatible with all current and future radio devices of the armed forces. Further orders are to be presented to the Budget Committee shortly."</t>
  </si>
  <si>
    <t>"Rheinmetall has been commissioned by the German Army to carry out a key tactical communications project that is of cross-cutting importance for the entire force. The technology company has been awarded a framework contract to supply up to 191,000 sets of the “speaking set with hearing protection function”. The framework contract has a term of seven years and a potential order volume of up to EUR 400 million net. The Budget Committee of the German Bundestag had given the project specific requirements. 30,000 sets including connecting cables have been firmly ordered for delivery in 2024. A call for the delivery of a further 30,000 sets is expected for 2025. These two delivery lots, financed from the special fund, will have a net value of up to around EUR 140 million."</t>
  </si>
  <si>
    <t>DE152</t>
  </si>
  <si>
    <t>Heavy infantry weapon carrier</t>
  </si>
  <si>
    <t>https://www.bmvg.de/de/aktuelles/bundeswehr-bekommt-123-neue-radpanzer-fuer-infanteriekraefte-5761102</t>
  </si>
  <si>
    <t>https://www.rheinmetall.com/de/media/news-watch/news/2024/03/2024-03-21-rheinmetall-auftrag-schwerer-waffentraeger-infanterie</t>
  </si>
  <si>
    <t>"On 20 March, the Bundestag’s Budget Committee approved a so-called 25 million euro bill for the purchase of 123 combat vehicles based on the GTK (Armoured transport vehicle) Boxer. A second proposal for corresponding services with a volume of around 750 million euros was also approved. The Heavy Infantry Weapons Carrier is being procured on the basis of a German-Australian government agreement. The wheeled armored vehicles are intended to give the army's new medium forces high mobility and firepower. They are to be used for direct tactical fire support of the infantry and for long-range anti-tank defense. In contrast to the ones already used in the Bundeswehr GTK Boxer, the heavy infantry weapon carrier, has a turret with a 30-millimeter cannon and a machine gun and is also equipped with the MELLS anti-tank system. It is built by the Australian branch of the German arms company Rheinmetall. Australia uses the Combat Reconnaissance Vehicle wheeled armored vehicle primarily for reconnaissance."</t>
  </si>
  <si>
    <t>"The basis for the procurement is a government purchase agreement between Germany and Australia. In March last year, a corresponding agreement was signed by Parliamentary State Secretary Thomas Hitschler and the Australian Minister for Armaments Pat Conroy. The armaments cooperation between the two countries in collaboration with Rheinmetall enables the Bundeswehr to procure the system quickly, as it is a system available on the market and not a new development. New for the Bundeswehr is the manned turret with the already proven machine gun of the Puma infantry fighting vehicle. This also results in synergy effects such as the integration of the new system into existing logistical processes and the use of the same ammunition in both tanks. The Heavy Infantry Weapon Carrier is intended to replace the Wiesel 1 Weapon Carrier in the Bundeswehr. The procurement that has now been approved will cost a total of 1.94 billion euros. In addition, a five-year maintenance contract with Rheinmetall with a cost framework of 746.9 million euros will be concluded. Financing will initially be provided by the Bundeswehr special fund. Delivery of a pre-production vehicle is expected this year. The production vehicles are to be delivered between 2025 and 2030. All procurements over 25 million euros must be approved by Parliament before the contract is signed."</t>
  </si>
  <si>
    <t>"The German Armed Forces has commissioned Rheinmetall to supply the "Heavy Infantry Weapons Carrier". After the Budget Committee of the German Bundestag approved the proposal on March 20, 2024, the contract was signed today. The German armed forces will procure up to 123 Heavy Infantry Weapons Carrier (sWaTrg Inf) vehicles. The contract is valued at around EUR 2.7 billion, including services. Delivery is scheduled to begin in 2025. The Heavy Infantry Weapons Carrier serves as a replacement for the Wiesel tracked vehicle for direct tactical fire support of infantry units. It is also a core element of the German Army's new force category, the "Medium Forces". These are characterized by their ability to be deployed quickly over long distances and thus contribute to credible national and alliance defense."</t>
  </si>
  <si>
    <t>DE153</t>
  </si>
  <si>
    <t>Heavy infantry weapon carrier maintenance (5 years)</t>
  </si>
  <si>
    <t>DE154</t>
  </si>
  <si>
    <t>Puma duel simulator training device equipment set (AGDUS)</t>
  </si>
  <si>
    <t>KNDS</t>
  </si>
  <si>
    <t>https://www.bmvg.de/de/aktuelles/duellsimulator-fuer-puma-uebungsraketen-fuer-tiger-5768986</t>
  </si>
  <si>
    <t>https://www.janes.com/defence-news/news-detail/germany-orders-simulators-for-puma-ifvs</t>
  </si>
  <si>
    <t>"A total of 258 sets of training equipment duel simulator (AGDUS) for the Puma infantry fighting vehicle by the end of 2026. The costs of around 109 million euros will be financed from the Bundeswehr special fund. AGDUS is a laser-based training system for realistic training of combat situations and to support preparatory shooting training. The system is used in the Army Combat Training Center, in the shooting training centers and also at the Puma infantry fighting vehicle sites."</t>
  </si>
  <si>
    <t>"The Bundeswehr is receiving new training simulators for its Puma infantry fighting vehicles (IFVs). In total, 258 sets of Training Device, Duel Simulator (Ausbildungsgerät Duellsimulator: AGDUS) systems are being delivered for the Puma IFVs by the end of 2026, the Bundeswehr announced on 15 April. The EUR109 million (USD116 million) contract will be financed from the EUR100 billion Bundeswehr special fund. A Rheinmetall/Krauss-Maffei Wegmann (KMW) consortium received an order from the Bundeswehr in December 2019 valued at EUR54 million for the provision of six AGDUS systems for integration tests on the Puma. Full-scale serial production of AGDUS would then begin once testing was complete, with up to 252 Puma IFVs being equipped with the systems for EUR88 million."</t>
  </si>
  <si>
    <t>DE155</t>
  </si>
  <si>
    <t>DE_70mm_1</t>
  </si>
  <si>
    <t>70mm Tiger attack helicopter rocket (training)</t>
  </si>
  <si>
    <t>Belgium</t>
  </si>
  <si>
    <t>https://www.thalesgroup.com/en/group/journalist/press-release/rheinmetall-and-thales-are-teaming-germany-within-field-unguided-and</t>
  </si>
  <si>
    <t>https://esut.de/2024/04/meldungen/48933/70mm-uebungsraketen-fuer-kampfhubschrauber-tiger/</t>
  </si>
  <si>
    <t>"The purchase of additional missiles for the Tiger combat helicopter will also be financed from the special fund. The Budget Committee has approved the purchase of an initial 15,180 training missiles for just under 54 million euros. The missiles will be delivered between 2024 and 2026. The framework agreement with the manufacturer provides for the delivery of a total of up to 31,760 70-millimeter training missiles for the combat helicopter."</t>
  </si>
  <si>
    <t>"The German army wants to purchase up to 31,760 training rockets in 70mm caliber for the shooting training of the crews of the Tiger combat helicopter. On April 10, the budget committee of the German Bundestag approved the purchase of a first batch of 15,180 training rockets for just under 54 million euros, as the German army announced on its website. The KH Tiger can be equipped with a multiple rocket launcher for unguided 70mm rockets. The standard armament includes rockets with HE warheads, several thousand of which were last procured in 2022. The manufacturer is the Thales subsidiary FZ in Belgium, which has entered into a partnership with Rheinmetall for development, qualification and production."</t>
  </si>
  <si>
    <t>DE156</t>
  </si>
  <si>
    <t>NH90</t>
  </si>
  <si>
    <t>10</t>
  </si>
  <si>
    <t>https://www.army-technology.com/news/germany-approves-software-update-of-nh90-helicopters/?cf-view</t>
  </si>
  <si>
    <t>https://defence-industry.eu/germany-parliament-approves-military-upgrades-including-nh90-helicopters-and-eurofighter-jets/</t>
  </si>
  <si>
    <t>"With the approval of the Budget Committee, an expansion of the capabilities of the NH-90 Tactical Transport Helicopter (TTH) of the German Army and the NH-90 Multi Role Frigate Helicopter (MRFH) of the German Navy. This is the exercise of an option from an existing framework agreement. The main focus is on the integration of a new Multi Functional Display (MFD) to display flight attitude and mission tactical information as well as systems to provide extended functionality in the areas of navigation and identification. In addition, there will be further improvements for the frigate version, as this NH-90 version has significantly more sensors as well as navigation and communication devices. Both the army and navy machines will receive an extensive software update. The cost of this, amounting to almost 217 million euros, will be financed primarily from the Bundeswehr's special fund. The NH-90 is a multi-purpose helicopter developed jointly by France, Italy, the Netherlands and Germany. The German army will have three versions of the NH-90. The army already uses 82 helicopters for air transport and air mobility. In the navy, it will replace the Sea Lynx Mk88A under the name Sea Tiger and will be used as an on-board helicopter on frigates, primarily for anti-submarine hunting and surface warfare. The 31 helicopters ordered are to be delivered to the navy from the end of 2025. In addition, the navy will also be using NH-90 Sea Lions are used as on-board helicopters for the task force supply ships and, above all, in search and rescue operations. The 18 Sea Lions are replacing the approximately 50-year-old Sea King Mk41 aircraft in this role."</t>
  </si>
  <si>
    <t>"The German Parliament Budget Committee approved funds for a comprehensive software update for its existing Nato Helicopter-90 (NH90) fleets worth €217m ($232.3m) on 24 April 2024. Calling for an option as part of an existing framework agreement, the German Government plan to expand the capabilities of the Army’s 82 tactical transport units as well as the Navy’s 18 multi-role frigate helicopters. Specifically, the software update integrates a new multi-functional display to provide the flight altitude and other tactical information as well as systems that offer expanded navigation and identification capabilities. Moreover, there will be further improvements for the frigate variant as these units have more sensors as well as navigation and communication devices."</t>
  </si>
  <si>
    <t>DE156_a</t>
  </si>
  <si>
    <t>NH-90 Tactical Transport Helicopter - software update</t>
  </si>
  <si>
    <t>DE156_b</t>
  </si>
  <si>
    <t>NH-90 Sea Lion Multi Role Frigate Helicopter - software update</t>
  </si>
  <si>
    <t>DE157</t>
  </si>
  <si>
    <t>Phase 4 Enhancement (P4E) development package for Eurofighter</t>
  </si>
  <si>
    <t>ELT Group</t>
  </si>
  <si>
    <t>https://www.leonardo.com/documents/15646808/26378088/ComLDO_Praetorian_P4E_14_07_2023_ENG.pdf?t=1689329892747</t>
  </si>
  <si>
    <t>"The budget committee also approved funds from the Bundeswehr special fund for the further development of the Eurofighter . Around 97 million euros will be invested in this. This involves financing a definition phase for the Eurofighter Phase 4 Enhancement (P4E) development package. The development package is intended to make hardware and software adjustments to the Eurofighter. These are aimed at providing additional capabilities, measures to increase interoperability and product improvements. 
In addition, improvements to the self-protection system and measures to equip the electronic warfare system are planned. The implementation of a P4E development package could also enable four-nation (Germany, Great Britain, Italy and Spain) weapon integrations such as the product-improved missiles Meteor, TAURUS, AMRAAM, GBU JDAM and an enhanced reconnaissance pod."</t>
  </si>
  <si>
    <t>DE158</t>
  </si>
  <si>
    <t>National mission support system for Eurofighter</t>
  </si>
  <si>
    <t>"The Budget Committee has also approved the adaptation of the national mission support system for the Eurofighter. This ensures mission planning, the processing of completed missions and the support of training purposes for the Eurofighter pilots. The planned adaptations will ensure that the main tasks of the mission support system are in line with the current Eurofighter development standard. The costs for this are just under 43 million euros. The funding is provided by the Bundeswehr special fund."</t>
  </si>
  <si>
    <t>"Furthermore, adjustments to the national mission support system for the Eurofighter were approved, ensuring compatibility with the latest development standards of the aircraft. This system aids in mission planning, analysis, and pilot training, with an investment of approximately EUR 43 million."</t>
  </si>
  <si>
    <t>DE159</t>
  </si>
  <si>
    <t>DM45 smoke hand grenade</t>
  </si>
  <si>
    <t>https://www.rheinmetall.com/de/media/news-watch/news/2024/05/2024-05-27-nebelhandgranate-dm45</t>
  </si>
  <si>
    <t>"The procurement of smoke grenades was also approved by the budget committee. Initially, 962,860 units will be purchased for almost 67 million euros from the Bundeswehr special fund. The DM45 grenades will be delivered by 2027. The framework agreement with the manufacturer provides for the delivery of up to 1.5 million smoke grenades. The DM45 smoke grenade has been in use by the Bundeswehr since the mid-1990s. It is used for training, exercises and operations and continues to meet the troops' requirements."</t>
  </si>
  <si>
    <t>"Rheinmetall has been commissioned by the German Armed Forces to supply around one million DM45 smoke grenades. On May 22, the President of the Federal Office of Bundeswehr Equipment, Information Technology and In-Service Support (BAAINBw), Annette Lehnigk-Emden, and Rheinmetall Waffe Munition GmbH signed a framework agreement for the manufacture and delivery. In total, up to 1.5 million DM 45 smoke grenades can be procured under the agreement over the coming years. The potential order volume for the approximately one million smoke grenades is around EUR 67 million and will be financed from the German Armed Forces' special fund. The framework agreement runs until 2027 and enables the ammunition to be called up flexibly each year based on the identified needs of the troops. The DM45 is produced at the Rheinmetall site in Silberhütte in the Harz Mountains (Saxony-Anhalt). The order now placed means long-term utilization of the production facility."</t>
  </si>
  <si>
    <t>DE160</t>
  </si>
  <si>
    <t>Advanced Medium Range Air-to-Air Missile (AMRAAM)</t>
  </si>
  <si>
    <t>https://www.bmvg.de/de/aktuelles/beschaffung-lenkflugkoerper-it-logistik-und-kommunikation-5782326</t>
  </si>
  <si>
    <t>https://esut.de/2024/05/meldungen/49772/19-milliarden-euro-fuer-vier-vorhaben-zu-lande-zu-wasser-und-in-der-luft/</t>
  </si>
  <si>
    <t>"The Parliamentary Budget Committee approved the Ministry of Defense's plan to use the so-called Foreign Military Sales procedure with the government of the United States of America to procure Advanced Medium Range Air-to-Air Missile (AMRAAM). The volume of the order is around 178 million euros in total. The agreement on the procurement of further guided missiles of this type is already planned for September 2024. The guided missiles AMRAAM are integrated into the Eurofighter weapon system. In conjunction with the Meteor guided missile, they increase the system's assertiveness and survivability."</t>
  </si>
  <si>
    <t>"Following approval by the Budget Committee, the Bundeswehr can initiate the Foreign Military Sales (FMS) process to procure Advanced Medium Range Air-to-Air Missile (AMRAAM) guided missiles. The agreement to procure the missiles, worth around 178 million euros, is expected to be concluded in September 2024. This will enable around 100 to 150 missiles to be procured. The missiles are manufactured by Raytheon, which only a year ago received a major contract worth around one billion US dollars to supply AMRAAM to the USA and – as part of FMS – to 18 allies, including Ukraine (ESuT reported )."</t>
  </si>
  <si>
    <t>DE161</t>
  </si>
  <si>
    <t>"The budget holders also gave the green light for the delivery of hardened IT components and accessories for the German Armed Forces. The project of the Federal Ministry of Defence, the contract therefore provides for the procurement of 6,376 communication servers (KommServer) and accessories. The procurement will be carried out via a call from a framework agreement with a volume of around 146.2 million euros from the Bundeswehr special fund. To operate a digital command and control system, especially under difficult environmental conditions, the armed forces require hardened and cross-functional IT components for mobile and stationary use. Specifically, these are communication servers, power packs and maintenance adapter cables. These are compatible with the communication server and Centurion computer units. The communication servers and accessories are required for the command equipment of combat and support vehicles. The project serves to provide communication equipment for the projects Digitalization of Land-Based Operations (D-LBO) and airborne platforms."</t>
  </si>
  <si>
    <t>"The fourth project approved by the Budget Committee on May 15 is hardened IT components for projects for the digitalization of land-based operations (D-LBO) and for airborne platforms. According to the Bundeswehr, 6,376 communication servers (KommServer) and accessories are to be procured. The procurement will take place via a call from a framework agreement with a volume of around 146.2 million euros, financed from the Bundeswehr special fund. The equipment package consists of communication servers, power packs and maintenance adapter cables that are compatible with the existing communication server and Centurion computer units."</t>
  </si>
  <si>
    <t>DE162</t>
  </si>
  <si>
    <t>Spare parts logistics ZEBEL - new contract</t>
  </si>
  <si>
    <t>"The Budget Committee of the German Bundestag also approved the conclusion of a contract for the Central Bundeswehr Spare Parts Logistics (ZEBEL) with integrated material management for non-autonomous federal warehouses of the Bundeswehr (naBELBw). The financial requirement of around 324.76 million euros will be covered by funds from the defense budget. With its complex service, the Central Bundeswehr Spare Parts Logistics is an integral and fundamental component of the Bundeswehr's logistics system. The range of services provided by this system is broad. It focuses on the following:
- Supplies for the maintenance of predominantly land-based weapon systems should be able to be made available within 48 hours.
- It is about material and data management for the non-autonomous federal warehouses of the Bundeswehr, in particular maintenance companies for predominantly airborne weapon systems.
- The range of services also includes the connection of the IT system of the contractor to the IT system of the Bundeswehr. This enables the mapping of logistical processes and the provision of logistical data in the Bundeswehr's logistical system."</t>
  </si>
  <si>
    <t>DE163</t>
  </si>
  <si>
    <t>Class 123 frigate (retrofit)</t>
  </si>
  <si>
    <t>"The Bundestag has also approved further developments for the operational availability of the Class 123 frigates. The ships' radar equipment and the command and weapon deployment system will be replaced. The communication and sensor systems and the ability to hunt submarines will be adapted or expanded. The guided missiles will also be replaced. These measures will make the Brandenburg-class frigates war-ready and provide Germany and the world with NATO the necessary capabilities for national and alliance defense. A total of around 1.2 billion euros will be invested in the four Class 123 frigates . This means that the Brandenburg-class ships can be used by the German Navy until at least 2035. The frigates are to be converted between 2026 and 2029. Since they were commissioned between 1994 and 1996, the four ships have been used primarily for submarine hunting."</t>
  </si>
  <si>
    <t>DE164</t>
  </si>
  <si>
    <t>https://www.bmvg.de/de/aktuelles/beschaffung-lkw-torpedos-it-marinekommando-5789050</t>
  </si>
  <si>
    <t>https://www.rheinmetall.com/de/media/news-watch/news/2024/06/2024-06-12-bundeswehr-bestellt-weitere-1515-militaer-lkw</t>
  </si>
  <si>
    <t>https://www.bundeswehr.de/resource/blob/5807006/43a25b93f0ce4b30bdd8dd1352412f07/13-weitere-1-515-militaer-transportfahrzeuge-fuer-die-bundeswehr-dl-data.pdf</t>
  </si>
  <si>
    <t>"By decision of the Budget Committee, the Bundeswehr can employ 1,250 unprotected and 265 protected Trucks of the payload class 15 tons (ZLK 15t). In addition, there will be corresponding transport systems: 500 swap bodies and 500 tarpaulin or bow bodies. The trucks are to be delivered by the end of the year. The order value of around 920 million euros will be financed from the Bundeswehr's special fund.
The order is part of a framework agreement with the manufacturer, which covers the possible purchase of a total of 4,000 protected or unprotected Trucks ZLK 15t with swap body system and other equipment and superstructures. So far, 1,008 trucks as well as 2,921 swap body flatbeds and 2,320 tarpaulin and bow superstructures have been delivered. The four-axle vehicles have all-wheel drive and are optimized for all military transport tasks, even in difficult terrain. They can accommodate different load carriers such as the common container formats or flatbeds and other superstructures."</t>
  </si>
  <si>
    <t>"Rheinmetall has been commissioned by the Bundeswehr to deliver another 1,515 logistics vehicles, 265 of which are protected swap body systems. This is a new call from the framework agreement for swap body systems (WLS) concluded in June 2020. This large call is being financed largely through the Bundeswehr's special fund. In addition to the vehicles, the Bundeswehr procurement authority (BAAINBw) has ordered 500 swap body platforms as interchangeable load carriers and 500 tarpaulin/bow superstructures. The order value of the call is over EUR 920 million gross. The vehicles will be delivered in the second half of 2024 and will be completed by mid-November 2024."</t>
  </si>
  <si>
    <t>DE164_a</t>
  </si>
  <si>
    <t>DE164_b</t>
  </si>
  <si>
    <t>DE164_c</t>
  </si>
  <si>
    <t>Swap body</t>
  </si>
  <si>
    <t>DE164_d</t>
  </si>
  <si>
    <t>Tarpaulin body</t>
  </si>
  <si>
    <t>DE165</t>
  </si>
  <si>
    <t>Mk 54 torpedo</t>
  </si>
  <si>
    <t>https://esut.de/2024/06/meldungen/50466/vier-projekte-mit-2-milliarden-euro-gebilligt/</t>
  </si>
  <si>
    <t>https://www.rtx.com/raytheon/what-we-do/sea/mk54</t>
  </si>
  <si>
    <t>"At its meeting, the Budget Committee also approved the purchase of lightweight Mk 54 mod0 torpedoes from the US government. These are combat and reusable training torpedoes. The package includes training and documentation as well as additional equipment for maintenance and conversions. The approximately 122 million euros will initially be financed through the Bundeswehr special fund and from 2028 through the defense budget. The torpedoes will be the anti-submarine armament for the P-8A Poseidon naval aircraft. Germany is buying eight of this aircraft type from the United States , which will take over anti-submarine and maritime reconnaissance from the P-3C Orion as an interim solution until the German-French cooperation project Maritime Airborne Warfare System (MAWS) can take on these tasks."</t>
  </si>
  <si>
    <t>"Following approval by the Budget Committee, the Bundeswehr can begin procuring 48 lightweight Mk 54 mod0 torpedoes (36 combat and 12 training torpedoes) through the Foreign Military Sales procedure in the USA. As the BMVg writes, these are combat and reusable training torpedoes. The package includes training and documentation as well as other equipment for maintenance and conversions. The approximately 122 million euros will initially be financed through the Bundeswehr special fund and from 2028 through the defense budget."</t>
  </si>
  <si>
    <t>DE166</t>
  </si>
  <si>
    <t>German Mission Network Block 2 (GMN 2) project</t>
  </si>
  <si>
    <t>"The funds for the marine project German Mission Network Block 2 (GMN2) were also approved by the committee. The almost 100 million euros required for the infrastructure investment will be financed from the special fund. The project will bring together the operational capabilities of the naval command, which are currently still located in Glücksburg, in the Hanse barracks in Rostock. This involves the establishment of the Maritime Operations Centre (MOC), the Fleet Entry Point (FEP) and the Maritime Component Command (MCC) especially with IT equipment. The Maritime Operations Centre is the "operations centre" for the fleet worldwide. By the end of 2025, the current standards of command capability are to be achieved in the new naval command building in Rostock . One year later, these standards will even be available in an expanded form."</t>
  </si>
  <si>
    <t>DE167</t>
  </si>
  <si>
    <t>DE_155mm_3</t>
  </si>
  <si>
    <t>155mm artillery round</t>
  </si>
  <si>
    <t>https://www.bmvg.de/de/aktuelles/bundeswehr-beschafft-mehr-artilleriegeschosse-5788634</t>
  </si>
  <si>
    <t>https://www.rheinmetall.com/de/media/news-watch/news/2024/06/2024-06-20-rheinmetall-erhaelt-rekordauftrag-ueber-155mm-munition</t>
  </si>
  <si>
    <t>https://esut.de/2024/06/meldungen/50441/155mm-artilleriemunition-fuer-die-bundeswehr-und-die-ukraine/</t>
  </si>
  <si>
    <t>"An agreement has now been reached with a German arms company to produce and deliver thousands of projectiles to further support Ukraine and replenish its own ammunition stocks. The financing requirement of almost 880 million euros will be covered by both the Bundeswehr's special fund and the regular defense budget."</t>
  </si>
  <si>
    <t>"At the same time, an initial call-off was signed from the framework agreement, which ensures the capacity utilization of the new plant being built in Germany at the Unterlüß site (Lower Saxony) during the ramp-up. This order also includes 155mm caliber projectiles in various designs with an order value of around EUR 880 million gross. Delivery is also scheduled to begin in 2025. Further increased call-offs are expected in the coming years."</t>
  </si>
  <si>
    <t>"The German army can order 155mm artillery ammunition for 880 million euros to replenish its own stocks and for use by the Ukrainian armed forces. This is stated in a publication by the BMVg on its website. Assuming roughly the same prices as for similar contracts, this amounts to almost 300,000 complete rounds (with propellant charges and igniters)."</t>
  </si>
  <si>
    <t>DE168</t>
  </si>
  <si>
    <t>Multi-purpose combat ship (MKS) 180 / Class F126 frigate - contract adjustment</t>
  </si>
  <si>
    <t>https://www.bmvg.de/de/aktuelles/bundeswehr-beschafft-zwei-weitere-fregatten-klasse-126-5791938</t>
  </si>
  <si>
    <t>https://augengeradeaus.net/2024/06/pistorius-bekraeftigt-notwendigkeit-von-zwei-weiteren-f126-finanzen-und-personal-eine-zukunftshoffnung/</t>
  </si>
  <si>
    <t>"At its meeting on June 12, the Budget Committee initially approved an amendment to the contract for the ongoing procurement of four F126 class frigates for the German Navy. The procurement contract with Damen Schelde Naval Shipbuilding was already concluded in June 2020. However, due to global inflation as a result of the Russian war of aggression against Ukraine, the contracting party can no longer carry out the project under the cost arrangements agreed at the time. The estimated additional expenditure amounts to around 323 million euros. The financing will be provided from 2024 to 2027 via the Bundeswehr special fund and from 2028 via the defense budget."</t>
  </si>
  <si>
    <t>"In a separate proposal, the prices for the four frigates already ordered are also being increased, according to media reports by around 323 million (CORRECTION) euros. The general contractor, the Dutch Damen Shipyard, is citing Section 313 of the German Civil Code , which takes into account a serious change in circumstances at the time the contract is concluded. A corresponding clause has already been included in the draft contract for the other two ships: price increases in connection with Russia's military attack on Ukraine are therefore already taken into account on the basis of Section 313 of the German Civil Code."</t>
  </si>
  <si>
    <t>DE169</t>
  </si>
  <si>
    <t>"In addition, the Bundestag gave the green light in principle, i.e. with the requirement of a resolution, for the procurement of two further F126 units. The Bundeswehr had kept this option open in the procurement contract. The approximately 3.18 billion euros will be financed exclusively through the defense budget. "With a total of six frigates of this type, we will not only be operational, but also sustainable," said Defense Minister Boris Pistorius at the keel-laying of the first frigate 126 on June 3 in Wolgast. The F126 will play an important role in national and alliance defense and at the same time represents Germany's commitment to the rules-based international order and to Germany as a business location. For the implementation of the project, a share of around 70 percent of the value added in Germany is targeted and over 65 German contractors will be involved in the construction of the ships. The planned procurement of the two additional frigates is a strong signal to the NATO partner and makes a significant contribution to credible deterrence within the alliance. The fifth and sixth ships are scheduled to be delivered in 2033 and 2034 respectively."</t>
  </si>
  <si>
    <t>"Defense Minister Boris Pistorius has confirmed his ministry's intention to order two more combat ships of this type in addition to the four new F126 class frigates already planned. We need six and not just four of these frigates, said Pistorius at the keel laying of the lead ship, the frigate Niedersachsen , at the Peene shipyard in Wolgast. According to the proposal for the Bundestag, the additional order is to be financed solely from the defense budget - and the personnel problem is to be solved by the time of delivery."</t>
  </si>
  <si>
    <t>DE170</t>
  </si>
  <si>
    <t>Small Arms and Light Weapons (SALW) ammunition</t>
  </si>
  <si>
    <t>Infantry</t>
  </si>
  <si>
    <t>https://www.bmvg.de/de/aktuelles/beschaffung-munition-tornado-head-up-displays-5801330</t>
  </si>
  <si>
    <t>"Parliament's budget committee has given the green light to the Ministry of Defense's plan to procure additional ammunition worth almost 105 million euros. This involves deliveries of several million cartridges in calibers 7.62 millimeters x 51 soft core (WK) and 9 millimeters x 19 soft core. A multi-partner framework agreement for the manufacture and delivery of this ammunition will be concluded with two companies. The delivery will include the replacement of ammunition that Germany had given to Ukraine as support in its defensive struggle against Russia."</t>
  </si>
  <si>
    <t>DE170_a</t>
  </si>
  <si>
    <t>7.62mm cartridge</t>
  </si>
  <si>
    <t>DE170_b</t>
  </si>
  <si>
    <t>9mm cartridge</t>
  </si>
  <si>
    <t>DE171</t>
  </si>
  <si>
    <t>Tornado Head-Up Display (HUD)</t>
  </si>
  <si>
    <t>https://www.airforce-technology.com/news/germany-procuring-heads-up-displays-for-tornado-aircraft/?cf-view</t>
  </si>
  <si>
    <t>"The committee also approved the procurement of 45 head-up displays (HUD) for the Tornado fighter jets. Including the installation of the equipment, training, documentation and necessary adaptation measures, the investment volume is 66 million euros, which will come from the Bundeswehr special fund until 2027 and then from the regular defense budget. The devices are to be delivered from 2026."</t>
  </si>
  <si>
    <t>"German Federal Ministry of Defence (MoD) announced a decision to procure 45 heads-up displays (HUD) for its Tornado aircraft in a release from 13 June 2024, at a cost of €66m ($70m), to be delivered by 2027. The order is enough to equip roughly half of the relevant aircraft, as Germany maintains a fleet of 93 PA-200 Tornado fighters, according to GlobalData’s ‘Germany Armed Forces Equipment Inventory 2023’ report."</t>
  </si>
  <si>
    <t>DE172</t>
  </si>
  <si>
    <t>SATCOMBw Stage 3 satellite project</t>
  </si>
  <si>
    <t>https://www.bmvg.de/de/aktuelles/kommunikationssatelliten-fuer-bundeswehr-5807926</t>
  </si>
  <si>
    <t>https://www.hartpunkt.de/waffen-fahrzeuge-schiffe-und-satelliten-haushalsausschuss-billigt-zahlreiche-beschaffungs-und-modernisierungsvorhaben-der-bundeswehr/</t>
  </si>
  <si>
    <t>https://www.airbus.com/en/products-services/defence/milsatcom/satcombw</t>
  </si>
  <si>
    <t>"The Bundeswehr's satellite communications system enables information to be transmitted effectively and securely around the world. The Bundeswehr will now acquire new satellites. The Budget Committee of the German Bundestag approved the conclusion of the contract on June 26, 2024. The budgetary authorities of the German Bundestag approved a contract for the procurement of successor communications satellites, COMSATBw 1B and 2B. The financial requirements of the project total around 2.2 billion euros, including operation. The project is financed from the Bundeswehr special fund and the defense budget. The start of operations is planned for 2027. The service life of the satellites is around 15 years. The Bundeswehr's satellite communications (SATCOMBw) are indispensable for self-sufficient and autonomously deployable communications and information services. They ensure the global command and information supply of German forces, such as the operational contingents and the special forces. The SATCOMBw Stage 3 project is also intended to ensure that the NATO obligations in this area are fulfilled. With SATCOMBw Level 3, the Bundeswehr is taking the increased user requirements into account."</t>
  </si>
  <si>
    <t>"The largest item at yesterday's meeting, amounting to around 2.2 billion euros, was the SATCOMBw Stage 3 project - SATCOMBw stands for Bundeswehr satellite communications. This project regulates the procurement and operation of successor communications satellites for the currently in-use COMSATBw 1B and 2B communications satellites, which are located at an altitude of 36,000 kilometers in a geostationary orbit. According to the Ministry of Defense, the Bundeswehr's satellite communications are "indispensable for self-sufficient and autonomously deployable communications and information services. They ensure the global command and information supply of German forces, such as the operational contingents and special forces." Information can be transmitted effectively and securely worldwide using satellite communications. The new communications satellites are scheduled to begin operations in 2027 and remain in use for around 15 years until the end of their service life."</t>
  </si>
  <si>
    <t>DE173</t>
  </si>
  <si>
    <t>Unprotected transport vehicle</t>
  </si>
  <si>
    <t>https://www.bmvg.de/de/aktuelles/beschaffungen-586-millionen-euro-bewilligt-5807952</t>
  </si>
  <si>
    <t>https://esut.de/2024/06/meldungen/50887/acht-25-mio-euro-vorlagen-fuer-den-haushaltsausschuss/</t>
  </si>
  <si>
    <t>https://esut.de/2024/06/meldungen/51182/bis-zu-6-500-ungeschuetzte-lkw-fuer-die-bundeswehr/</t>
  </si>
  <si>
    <t>"With the decision of the budget committee, the Bundeswehr can conclude a framework agreement for the manufacture and delivery of up to 6,500 unprotected transport vehicles in the payload classes 3.5 tons, 5 tons and 15 tons. These are all-wheel drive two-, three- and four-axle off-road military trucks. Initially, a three-digit number of vehicles with container mounts and already integrated installation kits for command and communication systems as well as preparation for easy installation of the remote-controlled light weapon station FLW 100 are to be ordered. The costs for the Trucks amount to around 313 million euros and come from the Bundeswehr's special fund and the defense budget. The vehicles will be delivered starting this year."</t>
  </si>
  <si>
    <t>"The first firm order from the new framework agreement is to be a three-digit number of vehicles with container mounts and already integrated installation kits for command and communication systems as well as preparation for easy installation of the remote-controlled light weapon station FLW 100, writes the BMVg. In the agenda of the budget committee, the number of vehicles was given as 610 vehicles. 313 million euros were released for this, which will be made available in the Bundeswehr special fund and in the core budget of EPl 14. The first deliveries have been agreed for this year."</t>
  </si>
  <si>
    <t>DE174</t>
  </si>
  <si>
    <t>Airfield fire engine</t>
  </si>
  <si>
    <t>"The Bundeswehr fire service is getting more new airfield fire engines. They are equipped with a 12,500-liter fire water tank and additional tanks for firefighting foam and powder. They are also prepared to accommodate future digital radio devices. The fire engines will be delivered between 2026 and 2029. They will also be financed - for around 84 million euros - from the Bundeswehr special fund and the regular defense budget. The framework agreement enables additional airfield fire engines to be called up at short notice if necessary."</t>
  </si>
  <si>
    <t>"60 airfield firefighting vehicles in two variants are also on the agenda."</t>
  </si>
  <si>
    <t>DE175</t>
  </si>
  <si>
    <t>Fennek vehicle reconnaissance equipment (BAA III)</t>
  </si>
  <si>
    <t>"The reconnaissance vehicle and the Joint Fire Support Team Fennek receive observation and reconnaissance equipment (BAA), which are state-of-the-art. The BAA consists of an extendable mast on which a rotating and tilting sensor head is mounted. The main innovation of the BAA is the integration of a laser target designator that can guide laser-guided ammunition to the target. With the modernization of the BAA It will be ensured that the entire Fennek fleet will have a uniform level of reconnaissance technology in the future. The budget committee has approved the almost 86 million euros required for the procurement. This will also be financed through the Bundeswehr special fund and the defense budget. The new observation and reconnaissance equipment, including the circulating reserve, is to be delivered and integrated into the vehicles between 2027 and 2029."</t>
  </si>
  <si>
    <t>"The Fennek reconnaissance vehicles are also to receive new observation and reconnaissance equipment III (BAA III)"</t>
  </si>
  <si>
    <t>DE176</t>
  </si>
  <si>
    <t>Class 123 frigate electronic warfare system</t>
  </si>
  <si>
    <t>"The Budget Committee also approved additional funds to maintain the operational availability of the Class 123 frigates. This concerns a contract amendment regarding the replacement of the electronic warfare system on the Brandenburg-class ships and associated services amounting to around 103 million euros from the special fund and the defense budget. The four Class 123 frigates are to be able to be used by the German Navy until at least 2035. They will be used in national and alliance defense with a focus on anti-submarine warfare and escort protection."</t>
  </si>
  <si>
    <t>"the electronic warfare segment is to be included as part of the “F123 Ensuring operational availability” project"</t>
  </si>
  <si>
    <t>"The financing for a naval project was also approved. According to the BMVg, this involves a contract change regarding the replacement of the electronic warfare system on the Brandenburg-class ships and related services amounting to around 103 million euros. According to well-informed sources, these are systems from the Israeli defense company Elbit Systems. The Navy plans to use the four Class 123 frigates until at least 2035 and to deploy them in national and alliance defense with a focus on anti-submarine warfare and escort protection."</t>
  </si>
  <si>
    <t>DE177</t>
  </si>
  <si>
    <t>Super Sonic Strike Missile (3SM Tyrfing) development</t>
  </si>
  <si>
    <t>Kongsberg Defence &amp; Aerospace</t>
  </si>
  <si>
    <t>MBDA Deutschland</t>
  </si>
  <si>
    <t>https://www.bmvg.de/de/aktuelles/deutsch-norwegischer-seeziellenkflugkoerper-geplant-5807888</t>
  </si>
  <si>
    <t>https://www.kongsberg.com/newsandmedia/news-archive/2024/super-sonic-strike-missile-3sm-tyrfing/</t>
  </si>
  <si>
    <t>"Germany and Norway will jointly develop a long-range supersonic guided missile for their frigates. The Budget Committee of the German Bundestag released the funds for the development on June 26, 2024. Germany and Norway are starting another joint armament project with the development of the new supersonic guided missile Super Sonic Strike Missile (3 SM) "Tyrfing". The frigates of both countries are to be equipped with the guided missiles for sea and land target engagement in the future. In addition to supersonic capability, key requirements are improved mission control and all-weather capability. The Super Sonic Strike Missile will still be controllable during flight and will be equipped with modern seeker technology for target acquisition. In addition, the warhead will have an adjustable effect in order to minimize collateral damage next to the target. The Norwegian defense company Kongsberg Defense &amp; Aerospace will be commissioned as the main contractor for the development, and German industry will be involved. Norway will thus take the lead in the development of the supersonic guided missile. The development project will be financed from the Bundeswehr's special fund up to and including 2027. From 2028, the project will be financed from the defense budget. Development is scheduled to be completed in the early 2030s."</t>
  </si>
  <si>
    <t>"The SuperSonic Strike Missile “TYRFING” development project is to be contracted and financed through an unscheduled commitment authorization of around 224 million euros."</t>
  </si>
  <si>
    <t>"Kongsberg Defence &amp; Aerospace (“KONGSBERG”), along with its German partners Diehl Defence and MBDA Deutschland, have teamed to ensure the successful development of the future Norwegian and German super-sonic strike missile known as 3SM Tyrfing."</t>
  </si>
  <si>
    <t>DE178</t>
  </si>
  <si>
    <t>Brimstone 3 guided missile</t>
  </si>
  <si>
    <t>TDW</t>
  </si>
  <si>
    <t>https://www.bmvg.de/de/aktuelles/beschaffung-lenkflugkoerper-brimstone-stinger-5807964</t>
  </si>
  <si>
    <t>https://www.hartpunkt.de/luftwaffe-soll-brimstone-3-fuer-den-eurofighter-erhalten/</t>
  </si>
  <si>
    <t>https://esut.de/2024/06/meldungen/51064/lenkflugkoerper-brimstone-fuer-die-luftwaffe/</t>
  </si>
  <si>
    <t>"The decision of the Budget Committee allows the Bundeswehr to conclude a framework agreement for the manufacture and delivery of several thousand Brimstone guided missile systems to arm the Eurofighter. Several hundred units will be purchased for around 376 million euros from the Bundeswehr special fund and the defense budget. The guided missiles are to be delivered from 2028. The package also includes training missiles, launch and test equipment, as well as tool sets and training materials. The Brimstone guided missiles can be used to attack stationary and moving targets on land and above water from the air."</t>
  </si>
  <si>
    <t>"After the Bundeswehr announced in 2017 that it would begin using the Brimstone 3 air-to-ground missile at the beginning of this decade, the implementation is now underway. The Bundestag's budget committee has approved a so-called 25 million euro template for a framework contract for the delivery of up to 3,266 Brimstone 3 guided missiles. Initially, 274 "Operational Brimstone Missiles" with launchers, test equipment and other accessories worth around 376 million euros are to be firmly ordered from MBDA Germany. The weapons are intended for use by the Eurofighter, which must be enabled for this purpose. A further 29 Brimstone models are planned as part of the firm procurement for operational testing and 75 missiles for training and telemetry purposes."</t>
  </si>
  <si>
    <t>"The Air Force is to receive new Brimstone 3 guided missiles. On June 26, the Bundestag's Budget Committee approved the conclusion of a framework contract for the production and delivery of several thousand guided missiles of this type. In a first tranche of the framework agreement, several hundred missiles are to be procured for around 376 million euros, according to the Federal Ministry of Defense. From 2028, the first guided missiles, manufactured by the defense company MBDA, are to be delivered to the Air Force. In addition to the live systems, the package is also to include training missiles, launch and test equipment, tool sets and training materials. In the future, the Brimstone 3 will be fired by the Air Force from the Eurofighter."</t>
  </si>
  <si>
    <t>DE179</t>
  </si>
  <si>
    <t>Stinger guided missile</t>
  </si>
  <si>
    <t>https://esut.de/2024/06/meldungen/51068/hunderte-neue-stinger-fuer-die-bundeswehr/</t>
  </si>
  <si>
    <t>"The committee also approved the purchase of several hundred Stinger guided missiles through the US government. The required 395 million euros will come primarily from the German government's capacity building budget, as the guided missiles are a replacement for material delivered to the Ukrainian armed forces. Partner states will receive military equipment through the German government's capacity building initiative. The guided missiles are to be delivered in 2028 and 2029. The Fliegerfaust 2 Stinger is used by the German Army, Air Force and Navy. It is a so-called Man Portable Air Defence System (MANPADS) that can be carried by one person and fired from the shoulder. It can be used to attack air targets at both low and medium altitudes at a distance of up to six kilometers. The Stinger is also integrated into the light air defense system in the Ozelot weapons carrier and in the Tiger attack helicopter."</t>
  </si>
  <si>
    <t>"The German army is to receive hundreds of new Stinger anti-aircraft guided missiles, so-called MANPADS (Man Portable Air Defense System). On June 26, the budget committee approved funding for the project. The Ministry of Defense estimates the cost of the procurement, which is to be carried out via a foreign military sale through the US government, at around 395 million euros. The project is to be financed "primarily" from the federal budget's budget plan 60 (General Financial Administration), as the guided missiles are a replacement for material from Bundeswehr stocks that was delivered to the Ukrainian armed forces, according to the Ministry of Defense. According to the ministry, 500 Stingers have been delivered to Ukraine so far, which means that, since this is only a replacement, the same number will now be ordered. The Bundeswehr expects the new Stinger 2 missiles to arrive in 2028 and 2029. The manufacturer is the US company Raytheon."</t>
  </si>
  <si>
    <t>DE180</t>
  </si>
  <si>
    <t>https://www.bmvg.de/de/aktuelles/leopard-2-a8-neue-kampfpanzer-fuer-die-brigade-litauen-5810986</t>
  </si>
  <si>
    <t>https://esut.de/2024/07/meldungen/51416/beschaffung-weiterer-105-leopard-2-a8-genehmigt/</t>
  </si>
  <si>
    <t>"On 3 July, the Budget Committee of the German Bundestag approved the procurement of 105 Leopard 2 battle tanks of the latest generation. They will be used in particular for the German brigade in Lithuania at the NATO eastern flank. The Leopard 2 A7V is currently the most modern version of the main battle tank used by the armored troops. 18 Leopard 2 A8 main battle tanks were ordered last year to replace vehicles previously handed over to Ukraine. With the decision of the budget committee, further examples of the latest generation of the main battle tank can now be purchased. The contract provides for the delivery of 105 Leopard 2 A8. The costs of around 2.9 billion euros include additional services and an availability guarantee and will be covered by the Bundeswehr special fund and the regular defense budget. The new main battle tanks will enter the troops between 2027 and 2030."</t>
  </si>
  <si>
    <t>"In May 2023, the German Army concluded a framework agreement for the procurement of 123 Leopard 2 A8 main battle tanks and immediately ordered 18 tanks as replacements for delivery to Ukraine (ESuT reported ). These are to be delivered in 2025/2026. The 105 tanks agreed as an option in the framework contract can now be called up. This means there is no longer any room for the participation of other nations, which was originally planned. After an initial start with eleven units, the 105 tanks are to be delivered in 2027 in installments of 24, 36 and 34 units respectively in the years up to 2030. 2.3 billion euros have been earmarked for this. In addition, an availability guarantee is to be agreed until 2040, which also applies abroad (e.g. Lithuania). The latter is still the subject of negotiations with the main contractor KNDS Germany. The plan provides for 640 million euros for this."</t>
  </si>
  <si>
    <t>DE181</t>
  </si>
  <si>
    <t>Wolf off-road light truck successor</t>
  </si>
  <si>
    <t>Mercedes Benz</t>
  </si>
  <si>
    <t>https://www.bmvg.de/de/aktuelles/militaer-lkw-munition-und-headsets-fuer-die-bundeswehr-5811014</t>
  </si>
  <si>
    <t>https://www.topagrar.com/technik/news/bundeswehr-mustert-g-klasse-gelaendewagen-wolf-aus-a-20005216.html</t>
  </si>
  <si>
    <t>https://defence-network.com/rahmenvertrag-zur-nachfolge-wolf-unterzeichnet/</t>
  </si>
  <si>
    <t>"At its meeting, the Budget Committee approved the conclusion of a framework agreement for the manufacture and delivery of several thousand highly off-road light trucks. These are off-road vehicles for transporting people and materials. Initially, the production of more than a thousand of these vehicles will be commissioned. The expenditure will be financed through the Bundeswehr's special fund. The first vehicles are to be delivered gradually from the end of this year until 2027. The vehicles not only represent a pure regeneration of the predecessor vehicles of the Wolf type, but also make an important contribution to the timely fulfillment of Germany's [NATO] obligations."</t>
  </si>
  <si>
    <t>DE182</t>
  </si>
  <si>
    <t>"The committee also approved the procurement of ammunition. Several hundred thousand 155-millimeter caliber projectiles for the Panzerhaubitze 2000 and comparable weapon systems will be purchased for around 1.3 billion euros. The order is part of a framework agreement for the possible production of several million projectiles. The project will be financed through the Bundeswehr special fund and the regular defense budget. The projectiles will be delivered between 2027 and 2031."</t>
  </si>
  <si>
    <t>DE183</t>
  </si>
  <si>
    <t>"The Bundeswehr will also be able to procure small arms ammunition on a large scale. Several million rounds of machine gun ammunition will be produced in belts of 500 for around 452 million euros. The funding will come from the Bundeswehr special fund and the regular defense budget. Since the contract also includes the replacement of material given to Ukraine, some of the funding will come from individual plan 60 - the so-called capacity building budget. The federal government's capacity building initiative supports partner states in building up their armed forces with military material."</t>
  </si>
  <si>
    <t>DE184</t>
  </si>
  <si>
    <t>"The Bundestag committee has also approved the purchase of a further 30,000 headsets with hearing protection for the troops, which are to be delivered next year. The almost 67 million euros required for this will come from the Bundeswehr's special fund. In March, the budget committee already released the funds for the first 30,000 units."</t>
  </si>
  <si>
    <t>DE185</t>
  </si>
  <si>
    <t>https://www.bmvg.de/de/aktuelles/beschaffung-patriot-systemen-lenkflugkoerpern-5811004</t>
  </si>
  <si>
    <t>https://www.rtx.com/news/news-center/2024/07/11/rtxs-raytheon-awarded-1-2-billion-contract-to-provide-additional-patriot-air-an</t>
  </si>
  <si>
    <t>"The Bundeswehr can, by decision of the Budget Committee, purchase four additional air defence missile systems Patriot. The investment of almost 1.4 billion euros will be raised mainly from the regular defense budget. One system will be financed in part from the Bundeswehr special fund and from the individual plan 60 in the federal budget. This individual plan includes, among other things, the financial means for the upgrading of partner states in the areas of security, defense and stabilization. Support for Ukraine with military equipment will also be financed from this budget item."</t>
  </si>
  <si>
    <t>"With the anti-aircraft missile system Patriot, cruise missiles and tactical ballistic missiles can be combated in the lower interception layer. The delivery of the four new fire units will take place gradually until 2030. The scope of delivery includes radar equipment, fire control stations, launchers, power supply and combat control systems, tractor units as well as technical support and spare parts. The Budget Committee approved the purchase of four additional Patriots."</t>
  </si>
  <si>
    <t>"ANDOVER, Mass., July 11, 2024 /PRNewswire/ -- Raytheon, an RTX (NYSE: RTX) business, was awarded a $1.2 billion contract to supply Germany with additional Patriot® air and missile defense systems. These systems will augment Germany's existing air defense infrastructure with additional Patriot major end items. The scope of the contract includes the most current Patriot Configuration 3+ radars, launchers, command and control stations, associated spares, and support."</t>
  </si>
  <si>
    <t>DE186</t>
  </si>
  <si>
    <t>DE187</t>
  </si>
  <si>
    <t>https://www.hartpunkt.de/sofortbeschaffung-von-100-patriot-flugkoerpern-gem-t-geplant/</t>
  </si>
  <si>
    <t>https://defence-network.com/patriot-pac-2-luftverteidigung-bundeswehr/</t>
  </si>
  <si>
    <t>"With the four new Patriot systems, the corresponding guided missiles can also be ordered. The Budget Committee approved the purchase of numerous anti-aircraft missiles in its meeting. In cooperation with allies, the missiles will be delivered via the NATO Support and Procurement Agency (NSPA). To support Ukraine, Denmark, the Netherlands and Norway are contributing to the costs of the procurement as part of the Immediate Action on Air Defence, a federal government initiative, which serves to compensate for losses from their own stocks. The German share is almost 200 million euros. The financing is also provided partly through the federal government's capacity building budget and partly through the Bundeswehr special fund. The guided missiles and spare parts will be delivered in tranches by 2026."</t>
  </si>
  <si>
    <t>"The German army can expect to procure 100 GEM-T surface-to-air guided missiles in the short term to replace Patriot missiles handed over to Ukraine. The budget committee of the German Bundestag approved a €25 million proposal for this, worth almost €524 million, in its last meeting before the summer break last week. In addition to the guided missiles, the final negotiated contract also includes a spare parts package. The special feature of the procurement, which is being handled by the NATO Support and Procurement Agency (NSPA), is the participation of the three countries Norway, Denmark and the Netherlands, which are covering around 325 million in costs. The German share is reportedly being financed from the Bundeswehr special fund and Chapter 60 of the federal budget."</t>
  </si>
  <si>
    <t>155mm artillery round DiNa</t>
  </si>
  <si>
    <t>DE_155mm_1a</t>
  </si>
  <si>
    <t>DE_155mm_1b</t>
  </si>
  <si>
    <t>"Furthermore, the Bundeswehr has expanded an existing framework agreement for DM121 ammunition. In addition to the framework contract cited above, this represents order volume of around €137 million, once again including VAT. The volume of the existing framework contract thus increases from €109 million to a total of €246 million, including VAT."</t>
  </si>
  <si>
    <t>DE_155mm_2a</t>
  </si>
  <si>
    <t>https://www.bmvg.de/de/aktuelles/bundestag-bewilligt-beschaffung-von-zehntausenden-schussmunition-5646264</t>
  </si>
  <si>
    <t>DE_155mm_2b</t>
  </si>
  <si>
    <t>https://www.bmvg.de/de/aktuelles/bundestag-bewilligt-beschaffung-von-zehntausenden-schussmunition-5646263</t>
  </si>
  <si>
    <t>"The Düsseldorf-based technology group Rheinmetall has received a framework contract from the Bundeswehr that covers the delivery of 155mm artillery ammunition worth up to EUR 8.5 billion gross. The contract was signed on June 20, 2024 by Annette Lehnigk-Emden, President of the Federal Office of Bundeswehr Equipment, Information Technology and In-Service Support (BAAINBw), and representatives of Rheinmetall in Koblenz at the office's headquarters.
An existing framework agreement was significantly expanded. The order is primarily intended to increase the stocks of the German Armed Forces and its allies and to support Ukraine in its defensive struggle."</t>
  </si>
  <si>
    <t>"The Budget Committee has also approved the amendment of a framework agreement with the arms company. The new framework agreement has multiplied the possible order quantity several times over. It should be emphasized that the projectiles will be produced in Germany in the future. This is a clear sign that Germany is sustainably strengthening its defense capabilities and further reducing its dependence on the procurement of war-deciding ammunition."</t>
  </si>
  <si>
    <t>"The treaty also contains an opening clause so that other nations can join. Denmark, Estonia and the Netherlands are already parties to the treaty. EU-wide, an initiative is currently underway together with the arms industry to increase the production of ammunition. "</t>
  </si>
  <si>
    <t>https://www.rheinmetall.com/de/media/news-watch/news/2023/12/2023-12-18-rheinmetall-abruf-rv-artillerie-155mm</t>
  </si>
  <si>
    <t>https://www.rheinmetall.com/de/media/news-watch/news/2023/10/2023-10-06-abruf-ausrahmenvertrag-ueber-155mm-artilleriemunition</t>
  </si>
  <si>
    <t>https://www.rheinmetall.com/de/media/news-watch/news/2023/10/2023-10-10-dritter-abruf-artilleriemunition</t>
  </si>
  <si>
    <t>DE_155mm_3a</t>
  </si>
  <si>
    <t>"Rheinmetall has been awarded a new framework contract for the supply of 155mm artillery ammunition, while an existing framework contract has been expanded. In all, the scope of delivery encompasses several hundred thousand shells of various types, including fuses and propelling charges. Set to run until 2029, the new framework contract represents potential order volume of around €1.2 billion, including VAT."</t>
  </si>
  <si>
    <t>"The Düsseldorf-based arms company Rheinmetall also reported in July that it had received a 1.3 billion euro order from the German armed forces to supply large quantities of combat and training ammunition for artillery. Rheinmetall has also received a new framework agreement for the supply of 155mm artillery ammunition, and an existing framework agreement has been extended. According to information from July, the delivery of several hundred thousand grenades as well as fuses and propellant modules of various types is planned. The new framework agreement runs until 2029 and has a potential gross order volume of around 1.2 billion euros, Rheinmetall announced at the time. Observers assume that it could be a framework agreement for a total of 350,000 rounds."</t>
  </si>
  <si>
    <t>DE_155mm_3b</t>
  </si>
  <si>
    <t>"The framework agreement with the manufacturer offers the option of producing and delivering up to 350,000 projectiles. Other countries can also participate in the project, as it is part of the EU Ammunition Initiative to accelerate the delivery, procurement and production of ammunition for Ukraine. It also aims to increase European ammunition production in the long term so that EU Member States can replenish their ammunition stocks."</t>
  </si>
  <si>
    <t>"According to experts, the signing of a contract with the French arms company and ammunition producer Nexter is imminent. Last week, the Budget Committee of the German Bundestag gave the green light to a framework agreement on the production of new artillery shells with the French manufacturer. According to a statement from the BMVg, a total of 68,000 explosive shells will be produced for the Ukrainian armed forces for 278 million euros. The project will be financed via the upgrade title in individual plan 60.
The framework agreement with the manufacturer offers the option of producing and delivering up to 350,000 projectiles, the statement said. Other countries can also participate in the project because it is part of the EU ammunition initiative to accelerate the delivery, procurement and production of ammunition for Ukraine."</t>
  </si>
  <si>
    <t>DE_155mm_4a</t>
  </si>
  <si>
    <t>"The German Armed Forces have expanded an existing framework agreement with Rheinmetall for the supply of tank ammunition to a volume of around EUR 4 billion. The order underlines Rheinmetall's role as a major supplier of 120mm tank ammunition to the German Armed Forces. The order reflects the armed forces' efforts to close gaps in stocks and increase ammunition stocks overall in view of the security situation. The framework agreement also provides for the supply of a significant quantity of tank ammunition to the Ukrainian armed forces."</t>
  </si>
  <si>
    <t>DE_120mm_1a</t>
  </si>
  <si>
    <t>"The German Armed Forces have awarded Rheinmetall a comprehensive framework contract for the supply of tank ammunition. By the end of 2028, 203,000 combat and training cartridges in 120mm x 570 caliber can be procured, such as those fired by the main weapon of the Leopard main battle tank. The framework contract has a volume of up to EUR 556 million gross. An initial call-off of 15,000 DM88s with delivery this year was already made at the beginning of December 2020. This order value is EUR 26.5 million gross."</t>
  </si>
  <si>
    <t>DE_120mm_1b</t>
  </si>
  <si>
    <t>"The Bundeswehr has expanded an existing framework agreement with Rheinmetall for the supply of tank ammunition to a volume of around €4 billion."</t>
  </si>
  <si>
    <t>"381.1 million euros are earmarked for tank ammunition in 120 mm x 570 caliber for the onboard cannon of the Leopard 2, almost a third of which is for Ukraine. The Bundeswehr will receive over 40,000 rounds of the DM11 (multi-purpose) and DM73/DM63A1 (KE) varieties as well as the corresponding training ammunition by 2025. Ukraine will receive 16,500 rounds of KE and general purpose combat ammunition. In addition, in the framework agreements, the maximum quantities for the Bundeswehr for combat ammunition were expanded to 120,800 to 142,500 each and for the Ukraine to 44,000 for the individual types of ammunition. According to Rheinmetall, this increases the order value for the framework agreement to around four billion euros."</t>
  </si>
  <si>
    <t>DE_70mm_1a</t>
  </si>
  <si>
    <t>DE_30mm_1a</t>
  </si>
  <si>
    <t>Germany unit cost and number of units of ordered items</t>
  </si>
  <si>
    <t>This section shows the unit cost (Euro) and number of units of items that Germany ordered between January 2020 and July 2024. It only includes orders for which the both the number of units and the total monetary amount of the order are known. For regular contract extensions, we consider a unit to be a year of continued service.</t>
  </si>
  <si>
    <t>ID</t>
  </si>
  <si>
    <t>Country</t>
  </si>
  <si>
    <t>Item</t>
  </si>
  <si>
    <t>Specific Item Type</t>
  </si>
  <si>
    <t>General Item Type</t>
  </si>
  <si>
    <t>Item Number</t>
  </si>
  <si>
    <t>Unit Cost (Euro)</t>
  </si>
  <si>
    <t>Units</t>
  </si>
  <si>
    <t>Contract Extensions - Cost per Year</t>
  </si>
  <si>
    <t>Germany order value by general item type by month (billion Euros)</t>
  </si>
  <si>
    <t>This section shows the total amount Germany ordered by general item type in € billion over time between January 2020 and July 2024. It includes the general item type itself and the development associated with that general type.</t>
  </si>
  <si>
    <t>Month</t>
  </si>
  <si>
    <t>Air defence system</t>
  </si>
  <si>
    <t>Air defence system (dev.)</t>
  </si>
  <si>
    <t>Aircraft (dev.)</t>
  </si>
  <si>
    <t>Ammunition (dev.)</t>
  </si>
  <si>
    <t>Armoured vehicle</t>
  </si>
  <si>
    <t>Armoured vehicle (dev.)</t>
  </si>
  <si>
    <t>Artillery</t>
  </si>
  <si>
    <t>Artillery (dev.)</t>
  </si>
  <si>
    <t>Drone</t>
  </si>
  <si>
    <t>Drone (dev.)</t>
  </si>
  <si>
    <t>Helicopter (dev.)</t>
  </si>
  <si>
    <t>Infantry (dev.)</t>
  </si>
  <si>
    <t>Main battle tank</t>
  </si>
  <si>
    <t>Main battle tank (dev.)</t>
  </si>
  <si>
    <t>Maintenance</t>
  </si>
  <si>
    <t>Maintenance (dev.)</t>
  </si>
  <si>
    <t>Mine</t>
  </si>
  <si>
    <t>Mine (dev.)</t>
  </si>
  <si>
    <t>Missile</t>
  </si>
  <si>
    <t>Missile (dev.)</t>
  </si>
  <si>
    <t>Modernisation (dev.)</t>
  </si>
  <si>
    <t>Naval</t>
  </si>
  <si>
    <t>Naval (dev.)</t>
  </si>
  <si>
    <t>Other (dev.)</t>
  </si>
  <si>
    <t>Missile (Air)</t>
  </si>
  <si>
    <t>Missile (Naval)</t>
  </si>
  <si>
    <t>Total</t>
  </si>
  <si>
    <t>Item classification</t>
  </si>
  <si>
    <t>This section shows the classifications assigned to each item. See "List of Classifications" for a description of each general item type.</t>
  </si>
  <si>
    <t>Medium-altitude long-endurance (MALE) unmanned aerial vehicle (UAV)</t>
  </si>
  <si>
    <t>Frigate</t>
  </si>
  <si>
    <t>Radar technology for fighter jet</t>
  </si>
  <si>
    <t>Communication and digitalisation</t>
  </si>
  <si>
    <t>Surface-to-surface (SSM) missile</t>
  </si>
  <si>
    <t>Surface-to-surface (SSM) missile - additional services</t>
  </si>
  <si>
    <t>Transportation for military personnel</t>
  </si>
  <si>
    <t>Fighter aircraft</t>
  </si>
  <si>
    <t>Equipment for heavyweight torpedo</t>
  </si>
  <si>
    <t>Communication and digitalisation development</t>
  </si>
  <si>
    <t>Development - Modernisation</t>
  </si>
  <si>
    <t>Maritime frigate attack helicopter</t>
  </si>
  <si>
    <t>Armoured Utility Vehicle (AUV)</t>
  </si>
  <si>
    <t>Industrial company purchase</t>
  </si>
  <si>
    <t>Anti-tank guided missile system</t>
  </si>
  <si>
    <t>Armoured engineer vehicle</t>
  </si>
  <si>
    <t>Naval reconnaissance drone</t>
  </si>
  <si>
    <t>Light utility helicopter</t>
  </si>
  <si>
    <t>Radar warning system for fighter jet</t>
  </si>
  <si>
    <t>Medium Altitude Long Endurance Remotely Piloted Aircraft System development</t>
  </si>
  <si>
    <t>Development - Drone</t>
  </si>
  <si>
    <t>Medium transport helicopter equipment</t>
  </si>
  <si>
    <t>Military vehicle maintentance support</t>
  </si>
  <si>
    <t>Maritime reconnaissance patrol aircraft</t>
  </si>
  <si>
    <t>Combat aircraft system development</t>
  </si>
  <si>
    <t>Development - Aircraft</t>
  </si>
  <si>
    <t>Airborne surveillance system</t>
  </si>
  <si>
    <t>Air traffic control system</t>
  </si>
  <si>
    <t>Reconnaissance ship</t>
  </si>
  <si>
    <t>Replenishment auxiliary ship</t>
  </si>
  <si>
    <t>Submarine</t>
  </si>
  <si>
    <t>Anti-ship missile (long-range)</t>
  </si>
  <si>
    <t>Anti-ship missile system (long-range) development</t>
  </si>
  <si>
    <t>Development - Missile (Naval)</t>
  </si>
  <si>
    <t>Infantry fighting vehicle (IFV)</t>
  </si>
  <si>
    <t>Joint tactical fire support vehicle</t>
  </si>
  <si>
    <t>Development - Armoured vehicle</t>
  </si>
  <si>
    <t>Special forces vehicle</t>
  </si>
  <si>
    <t>Armoured personnel carrier (APC)</t>
  </si>
  <si>
    <t>Frigate modernisation</t>
  </si>
  <si>
    <t>Repair equipment for surface-to-surface (SSM) missile</t>
  </si>
  <si>
    <t>Coastal trial support ship</t>
  </si>
  <si>
    <t>Minehunter ship modernisation</t>
  </si>
  <si>
    <t>Naval communication system</t>
  </si>
  <si>
    <t>Naval radar navigation system</t>
  </si>
  <si>
    <t>Equipment for Small Arms and Light Weapons (SALW)</t>
  </si>
  <si>
    <t>Ammunition equipment</t>
  </si>
  <si>
    <t>Airforce operational readiness</t>
  </si>
  <si>
    <t>Helicopter communication system</t>
  </si>
  <si>
    <t>Guided missile for medium-altitude long-endurance (MALE) unmanned aerial vehicle (UAV)</t>
  </si>
  <si>
    <t>Spare parts logistics</t>
  </si>
  <si>
    <t>Medium-range operational boat</t>
  </si>
  <si>
    <t>Maritime reconnaissance patrol aircraft - contract adjustment</t>
  </si>
  <si>
    <t>Weapon system development</t>
  </si>
  <si>
    <t>Naval guided surface-to-air missile (SAM)</t>
  </si>
  <si>
    <t>Naval guided surface-to-air missile (SAM) - additional services</t>
  </si>
  <si>
    <t>155mm howitzer ammunition development</t>
  </si>
  <si>
    <t>Development - Ammunition</t>
  </si>
  <si>
    <t xml:space="preserve">30mm infantry fighting vehicle ammunition </t>
  </si>
  <si>
    <t>Small Arms and Light Weapons (SALW)</t>
  </si>
  <si>
    <t>All-terrain vehicle</t>
  </si>
  <si>
    <t>Military transportation</t>
  </si>
  <si>
    <t>35mm anti-aircraft gun tank ammunition</t>
  </si>
  <si>
    <t>155mm howitzer</t>
  </si>
  <si>
    <t>Medical emergency facility</t>
  </si>
  <si>
    <t>Naval surface-to-air missile (SAM) missile (medium-range)</t>
  </si>
  <si>
    <t>Geoinformation data production</t>
  </si>
  <si>
    <t>Main Battle Tank (MBT)</t>
  </si>
  <si>
    <t>Anti-aircraft surface-to-air missile (SAM) system (medium-range)</t>
  </si>
  <si>
    <t>Heavy transport helicopter</t>
  </si>
  <si>
    <t>Reconnaissance ship - contract adjustment</t>
  </si>
  <si>
    <t>Light air assault vehicle</t>
  </si>
  <si>
    <t>155mm ammunition equipment</t>
  </si>
  <si>
    <t>Air-supported reconnaissance drone</t>
  </si>
  <si>
    <t>Fighter jet radar development</t>
  </si>
  <si>
    <t>Surface-to-air missile (SAM) system</t>
  </si>
  <si>
    <t>Underwater reconnaissance drone</t>
  </si>
  <si>
    <t>Anti-tank directional mine</t>
  </si>
  <si>
    <t>Anti-aircraft surface-to-air missile (SAM) system (long-range) equipment</t>
  </si>
  <si>
    <t>Medium-altitude long-endurance (MALE) drone</t>
  </si>
  <si>
    <t>Military vehicle maintentance</t>
  </si>
  <si>
    <t>Infantry mobility vehicle</t>
  </si>
  <si>
    <t>Infrared decoy target</t>
  </si>
  <si>
    <t>11</t>
  </si>
  <si>
    <t>Light attack helicopter</t>
  </si>
  <si>
    <t>All-terrain vehicle equipment</t>
  </si>
  <si>
    <t>Underwater situational display system</t>
  </si>
  <si>
    <t>Air-to-air missile (AAM)</t>
  </si>
  <si>
    <t>Surface-to-air missile (SAM)</t>
  </si>
  <si>
    <t>Air-to-air missile (AAM) development</t>
  </si>
  <si>
    <t>Development - Missile (Air)</t>
  </si>
  <si>
    <t>Development - Air defence system</t>
  </si>
  <si>
    <t>Self-propelled anti-aircraft weapon</t>
  </si>
  <si>
    <t>Anti-aircraft surface-to-air missile (SAM) system (long-range)</t>
  </si>
  <si>
    <t>Light tank</t>
  </si>
  <si>
    <t>Armored fighting vehicle maintenance</t>
  </si>
  <si>
    <t>Infantry fighting vehicle (IFV) equipment</t>
  </si>
  <si>
    <t>70mm attack helicopter rocket</t>
  </si>
  <si>
    <t>Multi role transport helicopter</t>
  </si>
  <si>
    <t>Maritime multi-role frigate helicopter</t>
  </si>
  <si>
    <t>Fighter jet development</t>
  </si>
  <si>
    <t>Fighter aircraft support system</t>
  </si>
  <si>
    <t>Smoke hand grenade</t>
  </si>
  <si>
    <t>Frigate modernization</t>
  </si>
  <si>
    <t>Lightweight anti-submarine torpedo</t>
  </si>
  <si>
    <t>Operations and command infrastructure</t>
  </si>
  <si>
    <t>Frigate - contract adjustment</t>
  </si>
  <si>
    <t>Fighter aircraft display</t>
  </si>
  <si>
    <t>Light armoured reconnaissance vehicle equipment</t>
  </si>
  <si>
    <t>Supersonic anti-ship missile development</t>
  </si>
  <si>
    <t>Air-to-surface missile (ASM)</t>
  </si>
  <si>
    <t>Man-portable surface-to-air missile system (MANPADS)</t>
  </si>
  <si>
    <t>List and description of dataset classifications</t>
  </si>
  <si>
    <t>German funding classification</t>
  </si>
  <si>
    <t>Budget for the federal ministry of the interior (Bundesministerium des Innern und für Heimat).</t>
  </si>
  <si>
    <t>Regular defence budget, Einzelplan 14.</t>
  </si>
  <si>
    <t>Budget line in support of partner countries (in particular Ukraine), Einzelplan 60.</t>
  </si>
  <si>
    <t>Federal government's economic stimulus package (after COVID).</t>
  </si>
  <si>
    <t>Special €100 billion debt fund that was created in 2022 to purchase military equipment.</t>
  </si>
  <si>
    <t>General item classification</t>
  </si>
  <si>
    <t>Number</t>
  </si>
  <si>
    <t>General Item</t>
  </si>
  <si>
    <t>Description</t>
  </si>
  <si>
    <t>Refers to main battle tanks (MBTs).</t>
  </si>
  <si>
    <t>Refers to other armoured vehicles, including infantry fighting vehicles (IFVs).</t>
  </si>
  <si>
    <t>Refers to gun artillery, in particular howitzers.</t>
  </si>
  <si>
    <t>Refers to large caliber ammunition for heavy weapons.</t>
  </si>
  <si>
    <t>Refers to air defence, anti-aircraft systems.</t>
  </si>
  <si>
    <t>Refers to missiles (further differentiated into land, sea, and air types).</t>
  </si>
  <si>
    <t>Refers to drones and autonomous vehicles.</t>
  </si>
  <si>
    <t>Refers to infantry related items, such as small arms and light weapons and corresponding ammunition.</t>
  </si>
  <si>
    <t>Refers to mines.</t>
  </si>
  <si>
    <t>Refers to helicopters for land forces (helicopters for airforce or navy are counted under the respective category).</t>
  </si>
  <si>
    <t>Refers to the air force.</t>
  </si>
  <si>
    <t>Refers to the navy.</t>
  </si>
  <si>
    <t>Refers to puchases that improve the armed forces as a whole, such as communication equipment and digitalisation.</t>
  </si>
  <si>
    <t>Refers to ongoing maintenance activities that ensure sustainment.</t>
  </si>
  <si>
    <t>Development</t>
  </si>
  <si>
    <t>Refers to research and development expenses associated with all other weapon categories.</t>
  </si>
  <si>
    <t>Refers to other purchases not directly matching any other category, such as non-combat military vehicles.</t>
  </si>
  <si>
    <t>Table 1.1: Major weapon types: theoretical year of replenishment of 2004 stocks in Germany, current procurement rates and recent stocks in relation to Russian production</t>
  </si>
  <si>
    <t>This table shows the decrease in stocks of major weapon types in Germany between 2004 and 2021; the average rate of procurement of the major weapon types since February 2022; the theoretical year that stocks would return to their 2004 levels provided recent procurement behaviour continues and assuming that orders translate into actual deliveries without major delays; and the number of months it would take for 2021 levels of German stocks to be built up using Russian July 2024 production rates. Infantry Fighting Vehicle orders include both new vehicles and retrofits of existing vehicles. Other Armoured Vehicle orders exclude light tanks. 2021 stocks include long-range anti-aircraft systems. Russian production of Air Defence (Anti-Aircraft) includes medium-range and long-range air defence systems. 
Source: Own calculations, based on IISS (2004, 2022); Wolff et al. (2024), Fit for war in decades: Europe's and Germany's slow rearmament vis-à-vis Russia, Kiel Institute; and Wolff, Kharitonov, Bushnell (2024), Kiel Military Procurement Tracker, Kiel Institute.</t>
  </si>
  <si>
    <t>Weapon Type</t>
  </si>
  <si>
    <t>2004 Stocks</t>
  </si>
  <si>
    <t>2021 Stocks</t>
  </si>
  <si>
    <t>Avg. Yearly Orders</t>
  </si>
  <si>
    <t>Replenishment Year</t>
  </si>
  <si>
    <t>Months for Russia to reach Germany</t>
  </si>
  <si>
    <t>Feb 2022 - Jul 2024</t>
  </si>
  <si>
    <t>Return to 2004 stocks</t>
  </si>
  <si>
    <t xml:space="preserve">July 2024 production rate, 2021 stocks </t>
  </si>
  <si>
    <t>Combat Aircraft</t>
  </si>
  <si>
    <t>N/A</t>
  </si>
  <si>
    <t>Main Battle Tank</t>
  </si>
  <si>
    <t>Infantry Fighting Vehicle</t>
  </si>
  <si>
    <t>Other Armoured Vehicle</t>
  </si>
  <si>
    <t>Artillery Howitzer</t>
  </si>
  <si>
    <t>Anti-Aircraft / Air Defence</t>
  </si>
  <si>
    <t>Figure 5.1: Germany total military orders, January 2020 - July 2024 (billion Euros)</t>
  </si>
  <si>
    <t>This figure shows Germany's total military orders in € billion over time between January 2020 and July 2024.</t>
  </si>
  <si>
    <t>Total military orders</t>
  </si>
  <si>
    <t>Figure 5.2: Germany total military orders by weapon category, January 2020 - July 2024 (billion Euros)</t>
  </si>
  <si>
    <t>This figure shows Germany's total military orders by weapon category (Air, Sea, Land, Other) in € billion over time between January 2020 and July 2024.</t>
  </si>
  <si>
    <t>Air</t>
  </si>
  <si>
    <t>Sea</t>
  </si>
  <si>
    <t>Land</t>
  </si>
  <si>
    <t>Figure 5.3: Germany total military orders by country of origin of the company which received the order, January 2020 – July 2024 (billion Euros)</t>
  </si>
  <si>
    <t>This figure shows Germany's total military orders by country of origin of the company which received the order in € billion over time between January 2020 and July 2024. This figure refers to the country where the headquarters of the company that received the order is located. As such, the location of actual item production and manufacturing may differ. “Germany and foreign partnership” refers to cases where a German and non-German company jointly receive an order, i.e., they work together on developing and producing an item. We cannot confirm development country for around €3.1 billion worth of total orders.</t>
  </si>
  <si>
    <t>Germany only</t>
  </si>
  <si>
    <t>Germany and foreign partnership</t>
  </si>
  <si>
    <t>European, non-Germany</t>
  </si>
  <si>
    <t>Non-European only</t>
  </si>
  <si>
    <t>Figure 5.3a: Germany share of total military orders by country of origin of the company which received the order, January 2020 – July 2024 (billion Euros)</t>
  </si>
  <si>
    <t>This figure shows the share of Germany's total military orders by country of origin of the company which received the order in € billion over time between January 2020 and July 2024. This figure refers to the country where the headquarters of the company that received the order is located. As such, the location of actual item production and manufacturing may differ. “Germany and foreign partnership” refers to cases where a German and non-German company jointly receive an order, i.e., they work together on developing and producing an item. We cannot confirm development country for around €3.1 billion worth of total orders.</t>
  </si>
  <si>
    <t>January 2020 - February 2022</t>
  </si>
  <si>
    <t>March 2022 - July 2024</t>
  </si>
  <si>
    <t>Figure 5.4: Germany military orders for land forces by month, January 2020 - July 2024 (billion Euros)</t>
  </si>
  <si>
    <t>This figure shows Germany's total military orders for land forces in € billion over time between January 2020 and July 2024.</t>
  </si>
  <si>
    <t>Orders for land forces</t>
  </si>
  <si>
    <r>
      <t xml:space="preserve">Figure 5.5: </t>
    </r>
    <r>
      <rPr>
        <sz val="16"/>
        <color rgb="FF000000"/>
        <rFont val="Arial Black"/>
        <family val="2"/>
      </rPr>
      <t>Germany shift in procurement priorities since the start of the Russia Ukraine war </t>
    </r>
  </si>
  <si>
    <t>This figure compares the monetary amount Germany ordered in military procurements in each category (Air, Sea, Land, Other) in billion € in the periods from January 2020 to December 2021 and from January 2022 to July 2024. It also shows the percentage of total orders for each category for each time period.</t>
  </si>
  <si>
    <t>2020-21</t>
  </si>
  <si>
    <t>2022-24</t>
  </si>
  <si>
    <t>Orders</t>
  </si>
  <si>
    <t>% Total</t>
  </si>
  <si>
    <r>
      <rPr>
        <b/>
        <sz val="16"/>
        <color rgb="FF000000"/>
        <rFont val="Arial Black"/>
        <family val="2"/>
        <charset val="204"/>
      </rPr>
      <t xml:space="preserve">Figure 5.6: </t>
    </r>
    <r>
      <rPr>
        <sz val="16"/>
        <color rgb="FF000000"/>
        <rFont val="Arial Black"/>
        <family val="2"/>
        <charset val="204"/>
      </rPr>
      <t>Impact of orders of new weapons and commitments to Ukraine on the stock of six major weapon categories in Germany </t>
    </r>
  </si>
  <si>
    <t>This figure shows the comparison between German key weapon stocks in 2021; units ordered (February 2022 to July 2024); units promised to Ukraine (February 2022 to June 2024); and the remaining number available (or to be delivered) to the Bundeswehr as of July 2024. The key weapon categories are: (1) combat aircraft; (2) main battle tanks (MBTs); (3) infantry fighting vehicles (IFVs) (orders include both new vehicles and retrofits of existing vehicles); (4) other armoured vehicles (stocks and orders exclude infantry fighting vehicles, light and main battle tanks); (5) artillery howitzers; and (6) anti-aircraft, air defence weapons (stocks include long-range anti-aircraft systems, and orders include long- and medium-range systems). In this figure, we assume that providing units to Ukraine is the only outflow of German stocks. 
Source: IISS (2022); Trebesch et al. (2024), The Ukraine Support Tracker: Which countries help Ukraine and how?, Kiel Institute; and Wolff, Kharitonov, Bushnell (2024), Kiel Military Procurement Tracker, Kiel Institute.</t>
  </si>
  <si>
    <t>Stocks in 2021</t>
  </si>
  <si>
    <t>Units Ordered</t>
  </si>
  <si>
    <t>Units to Ukraine</t>
  </si>
  <si>
    <t>Total, July 2024</t>
  </si>
  <si>
    <t>Figure 6.2: Germany total military orders by budgetary fund, January 2020 - July 2024 (billion Euros)</t>
  </si>
  <si>
    <t>This figure shows Germany's total military orders by budgetary fund in € billion over time between January 2020 and July 2024. Around €16.1 billion worth of orders is attributed to both the Sondervermögen and regular defence budget, Einzelplan 14. In the absence of further details, we assume that these orders are funded by the Sondervermögen until the fund is exhausted in 2027 and then any additional costs will be paid by the regular defence budget. In these cases, we attribute the value of the whole order to the Sondervermögen. Around €0.6 billion worth of orders is attributed to the Sondervermögen and Einzelplan 60. We count these orders as Einzelplan 60. Furthermore, in cases where the funding vehicle is not specified, we attribute the value of the order to the regular defence budget, Einzelplan 14.</t>
  </si>
  <si>
    <t>Figure 6.3: Germany total military orders by budgetary fund overview, January 2020 - July 2024 (billion Euros)</t>
  </si>
  <si>
    <t>This figure shows an overview of Germany's total military orders by budgetary fund in € billion. It captures the time between January 2020 and July 2024. Around €16.1 billion worth of orders is attributed to both the Sondervermögen and regular defence budget, Einzelplan 14. In the absence of further details, we assume that these orders are funded by the Sondervermögen until the fund is exhausted in 2027 and then any additional costs will be paid by the regular defence budget. In these cases, we attribute the value of the whole order to the Sondervermögen. Around €0.6 billion worth of orders is attributed to the Sondervermögen and Einzelplan 60. We count these orders as Einzelplan 60. Furthermore, in cases where the funding vehicle is not specified, we attribute the value of the order to the regular defence budget, Einzelplan 14.</t>
  </si>
  <si>
    <t>Einzelplan 14 (until Feb 2022)</t>
  </si>
  <si>
    <t>Einzelplan 14 (after Feb 2022)</t>
  </si>
  <si>
    <r>
      <t xml:space="preserve">Figure 7.1: </t>
    </r>
    <r>
      <rPr>
        <sz val="16"/>
        <color rgb="FF000000"/>
        <rFont val="Arial Black"/>
        <family val="2"/>
      </rPr>
      <t>Germany quarterly estimate of the number of years needed to deliver the ordered equipment where available, January 2020 – July 2024 </t>
    </r>
  </si>
  <si>
    <t>Out of the 221 ordered items recorded for the years 2020-2024, 106 have both an earliest and latest expected delivery date. In cases where the order is not an item to be delivered per se (e.g. a maintenance contract), the “delivery date” refers to the expected date where the contractor’s obligation to provide a service to the Bundeswehr ends. This figure shows the estimated number of years it takes for an order to be fulfilled after it has been placed as a function of time. It shows the quarterly average years until an earliest expected delivery date and until a latest expected delivery date. We take a further average of these two quarterly values to estimate the average years it takes to fully deliver an item or fulfil an order. The average for the second quarter 2024 (April - June) includes orders for July 2024.</t>
  </si>
  <si>
    <t>Announcement Date</t>
  </si>
  <si>
    <t>Year of Order</t>
  </si>
  <si>
    <t>Expected Delivery (from)</t>
  </si>
  <si>
    <t>Expected Delivery (to)</t>
  </si>
  <si>
    <t>Years (earliest)</t>
  </si>
  <si>
    <t>Years (latest)</t>
  </si>
  <si>
    <t>Estimated Years</t>
  </si>
  <si>
    <t>Quarter</t>
  </si>
  <si>
    <t>Average Years (earliest)</t>
  </si>
  <si>
    <t>Average Years (latest)</t>
  </si>
  <si>
    <r>
      <t xml:space="preserve">Figure 7.2: </t>
    </r>
    <r>
      <rPr>
        <sz val="16"/>
        <color rgb="FF000000"/>
        <rFont val="Arial Black"/>
        <family val="2"/>
      </rPr>
      <t>Germany proportion of ordered items without a latest expected delivery date by quarter (January 2020 – July 2024) </t>
    </r>
  </si>
  <si>
    <t>This figure shows the proportion of a quarter’s ordered items that do not have a latest expected delivery date (95 items). These items have either a) no expected delivery date, or b) only an earliest expected delivery date. Altogether Germany has ordered 221 items. The second quarter 2024 (April - June) includes orders for July 2024.</t>
  </si>
  <si>
    <t>Ordered Items</t>
  </si>
  <si>
    <t>Items, no Latest Delivery Date</t>
  </si>
  <si>
    <t>% Items, no Latest Delivery Date</t>
  </si>
  <si>
    <r>
      <t xml:space="preserve">Figure 7.3: </t>
    </r>
    <r>
      <rPr>
        <sz val="16"/>
        <color rgb="FF000000"/>
        <rFont val="Arial Black"/>
        <family val="2"/>
      </rPr>
      <t>Germany 155mm howitzer ammunition unit costs as a function of quantity ordered </t>
    </r>
  </si>
  <si>
    <t>This figure shows the relationship between number of units of 155mm howitzer ammunition ordered and the unit cost for that order. The Kiel Military Procurement Tracker records three orders of 155mm howitzer ammunition that include information on both number of units ordered and the total monetary amount of the order.</t>
  </si>
  <si>
    <t>No. of Units</t>
  </si>
  <si>
    <t>Cost per Unit (€)</t>
  </si>
  <si>
    <t>Figure A5.1: Contract extensions and new military purchases, January 2020 - July 2024 (billion Euros)</t>
  </si>
  <si>
    <t>This figure shows Germany's regular contract extensions and new military purchases in € billion over time between January 2020 and July 2024.</t>
  </si>
  <si>
    <t>Military purchases</t>
  </si>
  <si>
    <t>Contract extensions</t>
  </si>
  <si>
    <r>
      <t>Figure A5.2: Germany ammunition orders by month, January 2020 - July 2024 (billion Euros)</t>
    </r>
    <r>
      <rPr>
        <sz val="16"/>
        <color rgb="FF000000"/>
        <rFont val="Arial Black"/>
        <family val="2"/>
      </rPr>
      <t> </t>
    </r>
  </si>
  <si>
    <t>This figure shows Germany's ammunition orders in € billion over time between January 2020 and July 2024. This figure excludes costs for ammunition development (€0.1 billion).</t>
  </si>
  <si>
    <t xml:space="preserve">Figure A5.3: Germany ammunition orders by month, January 2020 - July 2024 (units) </t>
  </si>
  <si>
    <t>This figure shows Germany's ammunition orders in units over time between January 2020 and July 2024.</t>
  </si>
  <si>
    <t>Figure A5.4: Germany howitzer orders by month, January 2020 – July 2024 (billion EUR)</t>
  </si>
  <si>
    <t>This figure shows Germany's howitzer orders in € billion over time between January 2020 and July 2024.</t>
  </si>
  <si>
    <t>Figure A5.5: Germany howitzer orders by month, January 2020 - July 2024 (units)</t>
  </si>
  <si>
    <t>This figure shows Germany's howitzer orders in units over time between January 2020 and July 2024.</t>
  </si>
  <si>
    <t>Figure A5.6: Germany main battle tank orders by month, January 2020 - July 2024 (billion Euros)</t>
  </si>
  <si>
    <t>This figure shows Germany's main battle tank (MBT) orders in € billion over time between January 2020 and July 2024.</t>
  </si>
  <si>
    <t>Figure A5.7: Germany main battle tank orders by month, January 2020 – July 2024 (units)</t>
  </si>
  <si>
    <t>This figure shows Germany's main battle tank (MBT) orders in units over time between January 2020 and July 2024.</t>
  </si>
  <si>
    <t>Figure A5.8: Germany missile orders by month, January 2020 – July 2024 (billion Euros)</t>
  </si>
  <si>
    <t>This figure shows Germany's missile orders in € billion over time between January 2020 and July 2024. This figure excludes costs for missile development (€0.3 billion).</t>
  </si>
  <si>
    <t>Figure A5.9: Germany missile orders by month, January 2020 – July 2024 (units)</t>
  </si>
  <si>
    <t>This figure shows Germany's missile orders in units over time between January 2020 and July 2024. This figure excludes costs for missile development (€0.3 billion).</t>
  </si>
  <si>
    <t>Figure A5.10: Germany missile orders by category by month, January 2020 – July 2024 (billion Euros)</t>
  </si>
  <si>
    <t>This figure shows Germany's missile orders by missile category in € billion over time between January 2020 and July 2024. This figure excludes costs for missile development (€0.3 billion).This figure excludes costs for missile development (€0.3 billion).</t>
  </si>
  <si>
    <t>Missle (Naval)</t>
  </si>
  <si>
    <t>Figure A5.11: Germany air defence system orders by month, January 2020 - July 2024 (billion Euros)</t>
  </si>
  <si>
    <t>This figure shows Germany's air defence system orders in € billion over time between January 2020 and July 2024. This figure excludes costs for air defence system development (€1.2 billion).</t>
  </si>
  <si>
    <t>Figure A5.12: Germany air defence system orders by month, January 2020 - July 2024 (units)</t>
  </si>
  <si>
    <t>This figure shows Germany's air defence system orders in units over time between January 2020 and July 2024.</t>
  </si>
  <si>
    <t>Figure A5.13: Germany armoured vehicle orders by month, January 2020 - July 2024 (billion Euros)</t>
  </si>
  <si>
    <t>This figure shows Germany's armoured vehicle orders in € billion over time between January 2020 and July 2024. This figure excludes costs for armoured vehicle development (€0.1 billion).</t>
  </si>
  <si>
    <t>Figure A5.14: Germany armoured vehicle orders by month, January 2020 - July 2024 (units)</t>
  </si>
  <si>
    <t>This figure shows Germany's armoured vehicle orders in units over time between January 2020 and July 2024.</t>
  </si>
  <si>
    <t xml:space="preserve">Figure A5.15: Germany aircraft orders by month, January 2020 - July 2024 (billion Euros) </t>
  </si>
  <si>
    <t>This figure shows Germany's aircraft related orders in € billion over time between January 2020 and July 2024. This figure excludes costs for aircraft development (€5 billion).</t>
  </si>
  <si>
    <t>Figure A5.16: Germany fighter aircraft orders by month, January 2020 - July 2024 (units)</t>
  </si>
  <si>
    <t>This figure shows Germany's fighter aircraft orders in units over time between January 2020 and July 2024.</t>
  </si>
  <si>
    <t>Figure A5.17: Germany aircraft orders vs. development by month, January 2020 - July 2024 (billion Euros)</t>
  </si>
  <si>
    <t>This figure shows Germany's aircraft related orders and development expenses in € billion over time between January 2020 and July 2024.</t>
  </si>
  <si>
    <t>Figure A6.1: Germany military orders for land forces by budgetary fund, January 2020 - July 2024 (billion Euros)</t>
  </si>
  <si>
    <t>This figure shows Germany's military orders for land forces by budgetary fund in € billion over time between January 2020 and July 2024. Around €12.1 billion worth of orders is attributed to both the Sondervermögen and regular defence budget, Einzelplan 14. In the absence of further details, we assume that these orders are funded by the Sondervermögen until the fund is exhausted and then any additional costs will be paid by the regular defence budget. In these cases, we attribute the value of the whole order to the Sondervermögen. Around €0.6 billion worth of orders is attributed to the Sondervermögen and Einzelplan 60. We count these orders as Einzelplan 60. Furthermore, in cases where the funding mechanism is not specified, we attribute the value of the order to the regular defence budget, Einzelplan 14.</t>
  </si>
  <si>
    <r>
      <t>Figure A6.2: Germany military orders for land forces by budgetary fund overview, January 2020 - July 2024 (billion Euros)</t>
    </r>
    <r>
      <rPr>
        <sz val="16"/>
        <color rgb="FF000000"/>
        <rFont val="Arial Black"/>
        <family val="2"/>
      </rPr>
      <t> </t>
    </r>
  </si>
  <si>
    <t>This figure shows an overview of Germany's military orders for land forces by budgetary fund in € billion. It captures the time between January 2020 and July 2024. Around €12.1 billion worth of orders is attributed to both the Sondervermögen and regular defence budget, Einzelplan 14. In the absence of further details, we assume that these orders are funded by the Sondervermögen until the fund is exhausted and then any additional costs will be paid by the regular defence budget. In these cases, we attribute the value of the whole order to the Sondervermögen. Around €0.6 billion worth of orders is attributed to the Sondervermögen and Einzelplan 60. We count these orders as Einzelplan 60. Furthermore, in cases where the funding mechanism is not specified, we attribute the value of the order to the regular defence budget, Einzelplan 14.</t>
  </si>
  <si>
    <t>Table A7.1: Germany ammunition orders, January 2020 – July 2024</t>
  </si>
  <si>
    <t>Over the period January 2020 – July 2024, Germany made 16 ammunition orders. Nine of them (56%) include an estimation of an earliest delivery date and nine of them (56%) include an estimation of a latest delivery date. However, only six ammunition orders (38%) include both an earliest and latest expected delivery date.</t>
  </si>
  <si>
    <t>% of total entries</t>
  </si>
  <si>
    <t>No. of entries, total</t>
  </si>
  <si>
    <t>No. of entries, "Expected delivery (from)"</t>
  </si>
  <si>
    <t>No. of entries, "Expected delivery (to)"</t>
  </si>
  <si>
    <t>No. of entries, Expected delivery from and to</t>
  </si>
  <si>
    <t>Amount (€)</t>
  </si>
  <si>
    <t>Year of order</t>
  </si>
  <si>
    <t>Expected delivery (from)</t>
  </si>
  <si>
    <t>Expected delivery (to)</t>
  </si>
  <si>
    <t>Artillery ammunition</t>
  </si>
  <si>
    <t>Tank ammunition</t>
  </si>
  <si>
    <t>120mm Leopard 2 ammunition</t>
  </si>
  <si>
    <t>120mm Leopard 2 ammunition for Ukraine</t>
  </si>
  <si>
    <t>30mm Puma ammunition</t>
  </si>
  <si>
    <t>120mm Leopard 2 ammunition DM88 (training)</t>
  </si>
  <si>
    <t>Gepard ammunition</t>
  </si>
  <si>
    <t>35mm Gepard ammunition for Ukraine</t>
  </si>
  <si>
    <t>Other ammunition</t>
  </si>
  <si>
    <t>SUMMARY</t>
  </si>
  <si>
    <t>Total ammunition</t>
  </si>
  <si>
    <r>
      <t>Table A7.2: Basic Germany ammunition framework agreements, January 2020 – July 2024</t>
    </r>
    <r>
      <rPr>
        <sz val="16"/>
        <color rgb="FF000000"/>
        <rFont val="Arial Black"/>
        <family val="2"/>
      </rPr>
      <t> </t>
    </r>
  </si>
  <si>
    <r>
      <rPr>
        <b/>
        <sz val="12"/>
        <color theme="1"/>
        <rFont val="Calibri Light"/>
        <family val="2"/>
      </rPr>
      <t>Note a</t>
    </r>
    <r>
      <rPr>
        <sz val="12"/>
        <color theme="1"/>
        <rFont val="Calibri Light"/>
        <family val="2"/>
      </rPr>
      <t xml:space="preserve">: DE_155mm_3 includes Denmark, Estonia, and Netherlands as part of the contract.  
</t>
    </r>
    <r>
      <rPr>
        <b/>
        <sz val="12"/>
        <color theme="1"/>
        <rFont val="Calibri Light"/>
        <family val="2"/>
      </rPr>
      <t>Note b</t>
    </r>
    <r>
      <rPr>
        <sz val="12"/>
        <color theme="1"/>
        <rFont val="Calibri Light"/>
        <family val="2"/>
      </rPr>
      <t xml:space="preserve">: DE_155mm_4 is part of the EU Ammunition Initiative. </t>
    </r>
  </si>
  <si>
    <t xml:space="preserve"> Total Amount (€)</t>
  </si>
  <si>
    <t>Total:</t>
  </si>
  <si>
    <r>
      <t>Table A7.3: Extended Germany ammunition framework agreements, January 2020 – July 2024</t>
    </r>
    <r>
      <rPr>
        <sz val="16"/>
        <color rgb="FF000000"/>
        <rFont val="Arial Black"/>
        <family val="2"/>
      </rPr>
      <t> </t>
    </r>
  </si>
  <si>
    <r>
      <rPr>
        <b/>
        <sz val="12"/>
        <color theme="1"/>
        <rFont val="Calibri Light"/>
        <family val="2"/>
      </rPr>
      <t>Note a</t>
    </r>
    <r>
      <rPr>
        <sz val="12"/>
        <color theme="1"/>
        <rFont val="Calibri Light"/>
        <family val="2"/>
      </rPr>
      <t xml:space="preserve">: DE_155mm_3 includes Denmark, Estonia, and Netherlands as part of the contract. 
</t>
    </r>
    <r>
      <rPr>
        <b/>
        <sz val="12"/>
        <color theme="1"/>
        <rFont val="Calibri Light"/>
        <family val="2"/>
      </rPr>
      <t>Note b</t>
    </r>
    <r>
      <rPr>
        <sz val="12"/>
        <color theme="1"/>
        <rFont val="Calibri Light"/>
        <family val="2"/>
      </rPr>
      <t xml:space="preserve">:  The Kiel Military Procurement Tracker only captures the first two orders from the extension of the DE_155mm_3 agreement, worth €2.2 billion. Rheinmetall states that Germany made three additional orders from this framework agreement in October and December 2023 and procured at least 100,000 rounds. We do not include this information in the database because there is no record of these orders on the official BMVG websites.  
See: https://www.rheinmetall.com/de/media/news-watch/news/2023/10/2023-10-06-abruf-ausrahmenvertrag-ueber-155mm-artilleriemunition 
https://www.rheinmetall.com/de/media/news-watch/news/2023/10/2023-10-10-dritter-abruf-artilleriemunition 
https://www.rheinmetall.com/de/media/news-watch/news/2023/12/2023-12-18-rheinmetall-abruf-rv-artillerie-155mm 
</t>
    </r>
    <r>
      <rPr>
        <b/>
        <sz val="12"/>
        <color theme="1"/>
        <rFont val="Calibri Light"/>
        <family val="2"/>
      </rPr>
      <t>Note c</t>
    </r>
    <r>
      <rPr>
        <sz val="12"/>
        <color theme="1"/>
        <rFont val="Calibri Light"/>
        <family val="2"/>
      </rPr>
      <t>: DE_155mm_4 is part of the EU Ammunition Initiative.</t>
    </r>
  </si>
  <si>
    <t>Date</t>
  </si>
  <si>
    <t xml:space="preserve"> Amount (€)</t>
  </si>
  <si>
    <t xml:space="preserve"> Total amount (€)</t>
  </si>
  <si>
    <t>Amount ordered (€)</t>
  </si>
  <si>
    <t>Units ordered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</si>
</sst>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_);_(* \(#,##0.00\);_(* &quot;-&quot;??_);_(@_)"/>
    <numFmt numFmtId="165" formatCode="0.0"/>
    <numFmt numFmtId="166" formatCode="_(* #,##0_);_(* \(#,##0\);_(* &quot;-&quot;??_);_(@_)"/>
    <numFmt numFmtId="167" formatCode="mmm\-yyyy"/>
  </numFmts>
  <fonts count="54">
    <font>
      <sz val="12"/>
      <color theme="1"/>
      <name val="Times New Roman"/>
      <family val="2"/>
    </font>
    <font>
      <sz val="12"/>
      <color theme="1"/>
      <name val="Times New Roman"/>
      <family val="2"/>
    </font>
    <font>
      <b/>
      <sz val="12"/>
      <color theme="1"/>
      <name val="Times New Roman"/>
      <family val="1"/>
    </font>
    <font>
      <sz val="12"/>
      <color theme="1"/>
      <name val="Aptos Narrow"/>
      <family val="2"/>
      <scheme val="minor"/>
    </font>
    <font>
      <sz val="11"/>
      <color theme="1"/>
      <name val="Aptos Narrow"/>
      <family val="2"/>
      <scheme val="minor"/>
    </font>
    <font>
      <u/>
      <sz val="12"/>
      <color theme="10"/>
      <name val="Aptos Narrow"/>
      <family val="2"/>
      <scheme val="minor"/>
    </font>
    <font>
      <sz val="10"/>
      <name val="Arial"/>
      <family val="2"/>
    </font>
    <font>
      <u/>
      <sz val="11"/>
      <color theme="10"/>
      <name val="Aptos Narrow"/>
      <family val="2"/>
      <scheme val="minor"/>
    </font>
    <font>
      <sz val="10"/>
      <color rgb="FF000000"/>
      <name val="Times New Roman"/>
      <family val="1"/>
    </font>
    <font>
      <u/>
      <sz val="10"/>
      <color theme="10"/>
      <name val="Times New Roman"/>
      <family val="1"/>
    </font>
    <font>
      <sz val="10"/>
      <color theme="1"/>
      <name val="Arial"/>
      <family val="2"/>
    </font>
    <font>
      <sz val="12"/>
      <color rgb="FF000000"/>
      <name val="Times New Roman"/>
      <family val="1"/>
    </font>
    <font>
      <sz val="8"/>
      <name val="Times New Roman"/>
      <family val="2"/>
    </font>
    <font>
      <b/>
      <sz val="16"/>
      <color theme="1"/>
      <name val="Times New Roman"/>
      <family val="1"/>
    </font>
    <font>
      <b/>
      <sz val="14"/>
      <color theme="1"/>
      <name val="Times New Roman"/>
      <family val="1"/>
    </font>
    <font>
      <b/>
      <u/>
      <sz val="14"/>
      <color theme="1"/>
      <name val="Times New Roman"/>
      <family val="1"/>
    </font>
    <font>
      <sz val="12"/>
      <color rgb="FF000000"/>
      <name val="Calibri Light"/>
      <family val="2"/>
    </font>
    <font>
      <sz val="14"/>
      <color theme="1"/>
      <name val="Times New Roman"/>
      <family val="1"/>
    </font>
    <font>
      <sz val="12"/>
      <color theme="1"/>
      <name val="Calibri Light"/>
      <family val="2"/>
    </font>
    <font>
      <b/>
      <u/>
      <sz val="12"/>
      <color theme="1"/>
      <name val="Calibri Light"/>
      <family val="2"/>
    </font>
    <font>
      <b/>
      <u/>
      <sz val="14"/>
      <color theme="1"/>
      <name val="Calibri Light"/>
      <family val="2"/>
    </font>
    <font>
      <b/>
      <sz val="12"/>
      <color theme="1"/>
      <name val="Calibri Light"/>
      <family val="2"/>
    </font>
    <font>
      <sz val="12"/>
      <name val="Calibri Light"/>
      <family val="2"/>
    </font>
    <font>
      <b/>
      <sz val="12"/>
      <name val="Calibri Light"/>
      <family val="2"/>
    </font>
    <font>
      <b/>
      <sz val="12"/>
      <color theme="1"/>
      <name val="Arial Black"/>
      <family val="2"/>
    </font>
    <font>
      <sz val="14"/>
      <color theme="1"/>
      <name val="Calibri Light"/>
      <family val="2"/>
    </font>
    <font>
      <b/>
      <sz val="11"/>
      <color theme="1"/>
      <name val="Arial Black"/>
      <family val="2"/>
    </font>
    <font>
      <b/>
      <sz val="16"/>
      <color theme="1"/>
      <name val="Arial Black"/>
      <family val="2"/>
    </font>
    <font>
      <sz val="12"/>
      <color theme="0"/>
      <name val="Calibri Light"/>
      <family val="2"/>
    </font>
    <font>
      <sz val="16"/>
      <color theme="1"/>
      <name val="Arial Black"/>
      <family val="2"/>
    </font>
    <font>
      <sz val="12"/>
      <color rgb="FF111516"/>
      <name val="Calibri Light"/>
      <family val="2"/>
    </font>
    <font>
      <sz val="12"/>
      <color rgb="FF222222"/>
      <name val="Calibri Light"/>
      <family val="2"/>
    </font>
    <font>
      <b/>
      <sz val="16"/>
      <color rgb="FF000000"/>
      <name val="Arial Black"/>
      <family val="2"/>
    </font>
    <font>
      <sz val="16"/>
      <color rgb="FF000000"/>
      <name val="Arial Black"/>
      <family val="2"/>
    </font>
    <font>
      <b/>
      <sz val="12"/>
      <color rgb="FF000000"/>
      <name val="Calibri Light"/>
      <family val="2"/>
    </font>
    <font>
      <sz val="12"/>
      <color theme="1"/>
      <name val="Calibril "/>
    </font>
    <font>
      <sz val="12"/>
      <color theme="1"/>
      <name val="Aptos Display"/>
      <family val="2"/>
      <scheme val="major"/>
    </font>
    <font>
      <sz val="12"/>
      <color rgb="FF000000"/>
      <name val="Aptos Display"/>
      <family val="2"/>
      <scheme val="major"/>
    </font>
    <font>
      <b/>
      <sz val="14"/>
      <name val="Arial Black"/>
      <family val="2"/>
      <charset val="204"/>
    </font>
    <font>
      <i/>
      <sz val="12"/>
      <name val="Aptos Display"/>
      <family val="2"/>
      <scheme val="major"/>
    </font>
    <font>
      <b/>
      <u/>
      <sz val="12"/>
      <color theme="1"/>
      <name val="Arial"/>
      <family val="2"/>
      <charset val="204"/>
    </font>
    <font>
      <b/>
      <sz val="12"/>
      <color theme="1"/>
      <name val="Arial"/>
      <family val="2"/>
      <charset val="204"/>
    </font>
    <font>
      <b/>
      <sz val="12"/>
      <name val="Aptos Display"/>
      <family val="2"/>
      <scheme val="major"/>
    </font>
    <font>
      <b/>
      <u/>
      <sz val="12"/>
      <color theme="1"/>
      <name val="Aptos Display"/>
      <family val="2"/>
      <scheme val="major"/>
    </font>
    <font>
      <sz val="12"/>
      <color rgb="FFFF0000"/>
      <name val="Aptos Display"/>
      <family val="2"/>
      <scheme val="major"/>
    </font>
    <font>
      <b/>
      <sz val="12"/>
      <color theme="1"/>
      <name val="Aptos Display"/>
      <family val="2"/>
      <scheme val="major"/>
    </font>
    <font>
      <sz val="12"/>
      <name val="Aptos Display"/>
      <family val="2"/>
      <scheme val="major"/>
    </font>
    <font>
      <b/>
      <sz val="12"/>
      <color rgb="FF000000"/>
      <name val="Aptos Display"/>
      <family val="2"/>
      <scheme val="major"/>
    </font>
    <font>
      <b/>
      <u/>
      <sz val="12"/>
      <name val="Arial"/>
      <family val="2"/>
      <charset val="204"/>
    </font>
    <font>
      <b/>
      <u/>
      <sz val="12"/>
      <color theme="1"/>
      <name val="Arial"/>
      <family val="2"/>
    </font>
    <font>
      <sz val="10"/>
      <color rgb="FF222222"/>
      <name val="Roboto"/>
    </font>
    <font>
      <sz val="12"/>
      <color theme="1"/>
      <name val="Calibri Light"/>
      <family val="2"/>
      <charset val="204"/>
    </font>
    <font>
      <b/>
      <sz val="16"/>
      <color rgb="FF000000"/>
      <name val="Arial Black"/>
      <family val="2"/>
      <charset val="204"/>
    </font>
    <font>
      <sz val="16"/>
      <color rgb="FF000000"/>
      <name val="Arial Black"/>
      <family val="2"/>
      <charset val="204"/>
    </font>
  </fonts>
  <fills count="11">
    <fill>
      <patternFill patternType="none"/>
    </fill>
    <fill>
      <patternFill patternType="gray125"/>
    </fill>
    <fill>
      <patternFill patternType="solid">
        <fgColor theme="0"/>
        <bgColor indexed="64"/>
      </patternFill>
    </fill>
    <fill>
      <patternFill patternType="solid">
        <fgColor theme="3" tint="0.89999084444715716"/>
        <bgColor indexed="64"/>
      </patternFill>
    </fill>
    <fill>
      <patternFill patternType="solid">
        <fgColor theme="0"/>
        <bgColor rgb="FF000000"/>
      </patternFill>
    </fill>
    <fill>
      <patternFill patternType="solid">
        <fgColor theme="0" tint="-0.14999847407452621"/>
        <bgColor indexed="64"/>
      </patternFill>
    </fill>
    <fill>
      <patternFill patternType="solid">
        <fgColor theme="5" tint="0.39997558519241921"/>
        <bgColor indexed="64"/>
      </patternFill>
    </fill>
    <fill>
      <patternFill patternType="solid">
        <fgColor theme="3" tint="0.89999084444715716"/>
        <bgColor rgb="FF000000"/>
      </patternFill>
    </fill>
    <fill>
      <patternFill patternType="solid">
        <fgColor theme="3" tint="0.749992370372631"/>
        <bgColor indexed="64"/>
      </patternFill>
    </fill>
    <fill>
      <patternFill patternType="solid">
        <fgColor theme="9" tint="0.59999389629810485"/>
        <bgColor indexed="64"/>
      </patternFill>
    </fill>
    <fill>
      <patternFill patternType="solid">
        <fgColor theme="8" tint="0.59999389629810485"/>
        <bgColor indexed="64"/>
      </patternFill>
    </fill>
  </fills>
  <borders count="5">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rgb="FF000000"/>
      </bottom>
      <diagonal/>
    </border>
  </borders>
  <cellStyleXfs count="153">
    <xf numFmtId="0" fontId="0" fillId="0" borderId="0"/>
    <xf numFmtId="164" fontId="1" fillId="0" borderId="0" applyFont="0" applyFill="0" applyBorder="0" applyAlignment="0" applyProtection="0"/>
    <xf numFmtId="0" fontId="3" fillId="0" borderId="0"/>
    <xf numFmtId="0" fontId="6" fillId="0" borderId="0"/>
    <xf numFmtId="0" fontId="4" fillId="0" borderId="0"/>
    <xf numFmtId="0" fontId="6" fillId="0" borderId="0"/>
    <xf numFmtId="0" fontId="4" fillId="0" borderId="0"/>
    <xf numFmtId="0" fontId="4" fillId="0" borderId="0"/>
    <xf numFmtId="0" fontId="4" fillId="0" borderId="0"/>
    <xf numFmtId="0" fontId="7" fillId="0" borderId="0" applyNumberFormat="0" applyFill="0" applyBorder="0" applyAlignment="0" applyProtection="0"/>
    <xf numFmtId="0" fontId="4" fillId="0" borderId="0"/>
    <xf numFmtId="0" fontId="4" fillId="0" borderId="0"/>
    <xf numFmtId="164" fontId="4" fillId="0" borderId="0" applyFont="0" applyFill="0" applyBorder="0" applyAlignment="0" applyProtection="0"/>
    <xf numFmtId="164" fontId="3" fillId="0" borderId="0" applyFont="0" applyFill="0" applyBorder="0" applyAlignment="0" applyProtection="0"/>
    <xf numFmtId="0" fontId="4" fillId="0" borderId="0"/>
    <xf numFmtId="0" fontId="4" fillId="0" borderId="0"/>
    <xf numFmtId="9" fontId="3"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9"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164" fontId="4" fillId="0" borderId="0" applyFont="0" applyFill="0" applyBorder="0" applyAlignment="0" applyProtection="0"/>
    <xf numFmtId="0" fontId="1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3"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cellStyleXfs>
  <cellXfs count="218">
    <xf numFmtId="0" fontId="0" fillId="0" borderId="0" xfId="0"/>
    <xf numFmtId="0" fontId="0" fillId="2" borderId="0" xfId="0" applyFill="1"/>
    <xf numFmtId="0" fontId="13" fillId="2" borderId="0" xfId="0" applyFont="1" applyFill="1"/>
    <xf numFmtId="0" fontId="2" fillId="2" borderId="0" xfId="0" applyFont="1" applyFill="1"/>
    <xf numFmtId="164" fontId="0" fillId="2" borderId="0" xfId="1" applyFont="1" applyFill="1"/>
    <xf numFmtId="0" fontId="16" fillId="0" borderId="0" xfId="0" applyFont="1"/>
    <xf numFmtId="0" fontId="15" fillId="2" borderId="0" xfId="0" applyFont="1" applyFill="1"/>
    <xf numFmtId="0" fontId="14" fillId="3" borderId="1" xfId="0" applyFont="1" applyFill="1" applyBorder="1"/>
    <xf numFmtId="165" fontId="11" fillId="2" borderId="0" xfId="2" applyNumberFormat="1" applyFont="1" applyFill="1" applyAlignment="1">
      <alignment horizontal="left"/>
    </xf>
    <xf numFmtId="0" fontId="17" fillId="3" borderId="1" xfId="0" applyFont="1" applyFill="1" applyBorder="1" applyAlignment="1">
      <alignment horizontal="left"/>
    </xf>
    <xf numFmtId="0" fontId="18" fillId="0" borderId="0" xfId="0" applyFont="1"/>
    <xf numFmtId="0" fontId="19" fillId="2" borderId="0" xfId="0" applyFont="1" applyFill="1"/>
    <xf numFmtId="0" fontId="20" fillId="2" borderId="0" xfId="0" applyFont="1" applyFill="1"/>
    <xf numFmtId="2" fontId="18" fillId="2" borderId="0" xfId="0" applyNumberFormat="1" applyFont="1" applyFill="1" applyAlignment="1">
      <alignment horizontal="right"/>
    </xf>
    <xf numFmtId="166" fontId="18" fillId="2" borderId="0" xfId="0" applyNumberFormat="1" applyFont="1" applyFill="1"/>
    <xf numFmtId="2" fontId="18" fillId="2" borderId="0" xfId="0" applyNumberFormat="1" applyFont="1" applyFill="1"/>
    <xf numFmtId="0" fontId="18" fillId="2" borderId="0" xfId="0" applyFont="1" applyFill="1" applyAlignment="1">
      <alignment horizontal="right"/>
    </xf>
    <xf numFmtId="166" fontId="18" fillId="2" borderId="0" xfId="1" applyNumberFormat="1" applyFont="1" applyFill="1"/>
    <xf numFmtId="0" fontId="21" fillId="2" borderId="0" xfId="0" applyFont="1" applyFill="1" applyAlignment="1">
      <alignment horizontal="right"/>
    </xf>
    <xf numFmtId="0" fontId="21" fillId="2" borderId="2" xfId="0" applyFont="1" applyFill="1" applyBorder="1"/>
    <xf numFmtId="166" fontId="21" fillId="2" borderId="2" xfId="1" applyNumberFormat="1" applyFont="1" applyFill="1" applyBorder="1"/>
    <xf numFmtId="0" fontId="18" fillId="0" borderId="0" xfId="0" applyFont="1" applyAlignment="1">
      <alignment horizontal="left"/>
    </xf>
    <xf numFmtId="0" fontId="21" fillId="2" borderId="0" xfId="0" applyFont="1" applyFill="1"/>
    <xf numFmtId="166" fontId="21" fillId="2" borderId="0" xfId="1" applyNumberFormat="1" applyFont="1" applyFill="1" applyBorder="1"/>
    <xf numFmtId="0" fontId="19" fillId="3" borderId="0" xfId="0" applyFont="1" applyFill="1"/>
    <xf numFmtId="0" fontId="21" fillId="3" borderId="0" xfId="0" applyFont="1" applyFill="1"/>
    <xf numFmtId="166" fontId="21" fillId="3" borderId="0" xfId="1" applyNumberFormat="1" applyFont="1" applyFill="1" applyBorder="1"/>
    <xf numFmtId="0" fontId="18" fillId="3" borderId="0" xfId="0" applyFont="1" applyFill="1"/>
    <xf numFmtId="166" fontId="18" fillId="3" borderId="0" xfId="0" applyNumberFormat="1" applyFont="1" applyFill="1"/>
    <xf numFmtId="0" fontId="21" fillId="3" borderId="2" xfId="0" applyFont="1" applyFill="1" applyBorder="1"/>
    <xf numFmtId="166" fontId="21" fillId="3" borderId="2" xfId="0" applyNumberFormat="1" applyFont="1" applyFill="1" applyBorder="1"/>
    <xf numFmtId="0" fontId="18" fillId="3" borderId="3" xfId="0" applyFont="1" applyFill="1" applyBorder="1"/>
    <xf numFmtId="0" fontId="20" fillId="3" borderId="3" xfId="0" applyFont="1" applyFill="1" applyBorder="1"/>
    <xf numFmtId="166" fontId="18" fillId="2" borderId="0" xfId="1" applyNumberFormat="1" applyFont="1" applyFill="1" applyBorder="1" applyAlignment="1">
      <alignment horizontal="right"/>
    </xf>
    <xf numFmtId="166" fontId="18" fillId="2" borderId="0" xfId="1" applyNumberFormat="1" applyFont="1" applyFill="1" applyAlignment="1">
      <alignment horizontal="right"/>
    </xf>
    <xf numFmtId="0" fontId="18" fillId="3" borderId="2" xfId="0" applyFont="1" applyFill="1" applyBorder="1"/>
    <xf numFmtId="0" fontId="21" fillId="3" borderId="2" xfId="0" applyFont="1" applyFill="1" applyBorder="1" applyAlignment="1">
      <alignment horizontal="right"/>
    </xf>
    <xf numFmtId="0" fontId="21" fillId="3" borderId="0" xfId="0" applyFont="1" applyFill="1" applyAlignment="1">
      <alignment horizontal="right"/>
    </xf>
    <xf numFmtId="166" fontId="21" fillId="3" borderId="0" xfId="1" applyNumberFormat="1" applyFont="1" applyFill="1"/>
    <xf numFmtId="166" fontId="18" fillId="3" borderId="0" xfId="1" applyNumberFormat="1" applyFont="1" applyFill="1"/>
    <xf numFmtId="14" fontId="18" fillId="2" borderId="0" xfId="0" applyNumberFormat="1" applyFont="1" applyFill="1"/>
    <xf numFmtId="3" fontId="18" fillId="2" borderId="0" xfId="0" applyNumberFormat="1" applyFont="1" applyFill="1"/>
    <xf numFmtId="0" fontId="18" fillId="3" borderId="0" xfId="0" applyFont="1" applyFill="1" applyAlignment="1">
      <alignment horizontal="right"/>
    </xf>
    <xf numFmtId="3" fontId="18" fillId="3" borderId="0" xfId="0" applyNumberFormat="1" applyFont="1" applyFill="1" applyAlignment="1">
      <alignment horizontal="right"/>
    </xf>
    <xf numFmtId="3" fontId="18" fillId="3" borderId="0" xfId="0" applyNumberFormat="1" applyFont="1" applyFill="1"/>
    <xf numFmtId="0" fontId="18" fillId="2" borderId="0" xfId="0" applyFont="1" applyFill="1" applyAlignment="1">
      <alignment horizontal="left"/>
    </xf>
    <xf numFmtId="14" fontId="18" fillId="2" borderId="0" xfId="0" applyNumberFormat="1" applyFont="1" applyFill="1" applyAlignment="1">
      <alignment horizontal="right"/>
    </xf>
    <xf numFmtId="3" fontId="18" fillId="2" borderId="0" xfId="0" applyNumberFormat="1" applyFont="1" applyFill="1" applyAlignment="1">
      <alignment horizontal="right"/>
    </xf>
    <xf numFmtId="0" fontId="23" fillId="3" borderId="0" xfId="0" applyFont="1" applyFill="1" applyAlignment="1">
      <alignment horizontal="right"/>
    </xf>
    <xf numFmtId="0" fontId="22" fillId="3" borderId="0" xfId="0" applyFont="1" applyFill="1" applyAlignment="1">
      <alignment horizontal="right"/>
    </xf>
    <xf numFmtId="166" fontId="22" fillId="3" borderId="0" xfId="1" applyNumberFormat="1" applyFont="1" applyFill="1"/>
    <xf numFmtId="3" fontId="18" fillId="3" borderId="0" xfId="1" applyNumberFormat="1" applyFont="1" applyFill="1"/>
    <xf numFmtId="166" fontId="18" fillId="2" borderId="0" xfId="1" applyNumberFormat="1" applyFont="1" applyFill="1" applyBorder="1"/>
    <xf numFmtId="0" fontId="18" fillId="3" borderId="2" xfId="0" applyFont="1" applyFill="1" applyBorder="1" applyAlignment="1">
      <alignment horizontal="right"/>
    </xf>
    <xf numFmtId="166" fontId="18" fillId="3" borderId="2" xfId="0" applyNumberFormat="1" applyFont="1" applyFill="1" applyBorder="1"/>
    <xf numFmtId="0" fontId="24" fillId="3" borderId="1" xfId="0" applyFont="1" applyFill="1" applyBorder="1"/>
    <xf numFmtId="0" fontId="24" fillId="3" borderId="1" xfId="0" applyFont="1" applyFill="1" applyBorder="1" applyAlignment="1">
      <alignment horizontal="left"/>
    </xf>
    <xf numFmtId="3" fontId="22" fillId="3" borderId="0" xfId="0" applyNumberFormat="1" applyFont="1" applyFill="1"/>
    <xf numFmtId="166" fontId="21" fillId="3" borderId="2" xfId="1" applyNumberFormat="1" applyFont="1" applyFill="1" applyBorder="1"/>
    <xf numFmtId="166" fontId="21" fillId="2" borderId="1" xfId="1" applyNumberFormat="1" applyFont="1" applyFill="1" applyBorder="1"/>
    <xf numFmtId="166" fontId="18" fillId="2" borderId="1" xfId="1" applyNumberFormat="1" applyFont="1" applyFill="1" applyBorder="1"/>
    <xf numFmtId="164" fontId="18" fillId="2" borderId="0" xfId="1" applyFont="1" applyFill="1"/>
    <xf numFmtId="0" fontId="25" fillId="2" borderId="0" xfId="0" applyFont="1" applyFill="1"/>
    <xf numFmtId="1" fontId="25" fillId="2" borderId="0" xfId="0" applyNumberFormat="1" applyFont="1" applyFill="1"/>
    <xf numFmtId="0" fontId="25" fillId="2" borderId="0" xfId="0" applyFont="1" applyFill="1" applyAlignment="1">
      <alignment horizontal="right"/>
    </xf>
    <xf numFmtId="0" fontId="25" fillId="3" borderId="1" xfId="0" applyFont="1" applyFill="1" applyBorder="1"/>
    <xf numFmtId="0" fontId="26" fillId="3" borderId="3" xfId="0" applyFont="1" applyFill="1" applyBorder="1"/>
    <xf numFmtId="0" fontId="27" fillId="2" borderId="0" xfId="0" applyFont="1" applyFill="1"/>
    <xf numFmtId="167" fontId="22" fillId="2" borderId="0" xfId="3" applyNumberFormat="1" applyFont="1" applyFill="1" applyAlignment="1">
      <alignment horizontal="left"/>
    </xf>
    <xf numFmtId="164" fontId="21" fillId="2" borderId="2" xfId="0" applyNumberFormat="1" applyFont="1" applyFill="1" applyBorder="1"/>
    <xf numFmtId="164" fontId="18" fillId="2" borderId="0" xfId="0" applyNumberFormat="1" applyFont="1" applyFill="1"/>
    <xf numFmtId="166" fontId="21" fillId="2" borderId="2" xfId="0" applyNumberFormat="1" applyFont="1" applyFill="1" applyBorder="1"/>
    <xf numFmtId="0" fontId="28" fillId="2" borderId="0" xfId="0" applyFont="1" applyFill="1"/>
    <xf numFmtId="0" fontId="29" fillId="2" borderId="0" xfId="0" applyFont="1" applyFill="1"/>
    <xf numFmtId="14" fontId="18" fillId="0" borderId="0" xfId="0" applyNumberFormat="1" applyFont="1"/>
    <xf numFmtId="165" fontId="16" fillId="0" borderId="0" xfId="2" applyNumberFormat="1" applyFont="1" applyAlignment="1">
      <alignment horizontal="left"/>
    </xf>
    <xf numFmtId="0" fontId="16" fillId="0" borderId="0" xfId="2" applyFont="1" applyAlignment="1">
      <alignment horizontal="center"/>
    </xf>
    <xf numFmtId="0" fontId="18" fillId="0" borderId="0" xfId="0" applyFont="1" applyAlignment="1">
      <alignment horizontal="center"/>
    </xf>
    <xf numFmtId="0" fontId="16" fillId="0" borderId="0" xfId="2" applyFont="1" applyAlignment="1">
      <alignment vertical="top"/>
    </xf>
    <xf numFmtId="0" fontId="16" fillId="0" borderId="0" xfId="2" applyFont="1" applyAlignment="1">
      <alignment horizontal="left" vertical="center"/>
    </xf>
    <xf numFmtId="0" fontId="16" fillId="0" borderId="0" xfId="2" applyFont="1" applyAlignment="1">
      <alignment horizontal="left"/>
    </xf>
    <xf numFmtId="0" fontId="18" fillId="0" borderId="0" xfId="0" applyFont="1" applyAlignment="1">
      <alignment horizontal="right"/>
    </xf>
    <xf numFmtId="0" fontId="16" fillId="0" borderId="0" xfId="2" applyFont="1" applyAlignment="1">
      <alignment horizontal="left" vertical="top"/>
    </xf>
    <xf numFmtId="0" fontId="30" fillId="0" borderId="0" xfId="0" applyFont="1"/>
    <xf numFmtId="0" fontId="22" fillId="0" borderId="0" xfId="63" applyFont="1" applyAlignment="1">
      <alignment vertical="center"/>
    </xf>
    <xf numFmtId="0" fontId="16" fillId="0" borderId="0" xfId="0" applyFont="1" applyAlignment="1">
      <alignment horizontal="center"/>
    </xf>
    <xf numFmtId="0" fontId="21" fillId="0" borderId="0" xfId="0" applyFont="1" applyAlignment="1">
      <alignment horizontal="center"/>
    </xf>
    <xf numFmtId="14" fontId="18" fillId="0" borderId="0" xfId="0" applyNumberFormat="1" applyFont="1" applyAlignment="1">
      <alignment horizontal="right"/>
    </xf>
    <xf numFmtId="0" fontId="31" fillId="0" borderId="0" xfId="0" applyFont="1"/>
    <xf numFmtId="0" fontId="16" fillId="2" borderId="0" xfId="0" applyFont="1" applyFill="1"/>
    <xf numFmtId="0" fontId="32" fillId="0" borderId="0" xfId="0" applyFont="1"/>
    <xf numFmtId="165" fontId="18" fillId="2" borderId="0" xfId="0" applyNumberFormat="1" applyFont="1" applyFill="1"/>
    <xf numFmtId="0" fontId="34" fillId="2" borderId="0" xfId="0" applyFont="1" applyFill="1"/>
    <xf numFmtId="1" fontId="18" fillId="2" borderId="0" xfId="1" applyNumberFormat="1" applyFont="1" applyFill="1"/>
    <xf numFmtId="0" fontId="22" fillId="2" borderId="0" xfId="0" applyFont="1" applyFill="1"/>
    <xf numFmtId="14" fontId="22" fillId="2" borderId="0" xfId="0" applyNumberFormat="1" applyFont="1" applyFill="1"/>
    <xf numFmtId="0" fontId="23" fillId="3" borderId="0" xfId="0" applyFont="1" applyFill="1"/>
    <xf numFmtId="0" fontId="18" fillId="2" borderId="0" xfId="0" applyFont="1" applyFill="1" applyAlignment="1">
      <alignment horizontal="center"/>
    </xf>
    <xf numFmtId="165" fontId="16" fillId="2" borderId="0" xfId="2" applyNumberFormat="1" applyFont="1" applyFill="1" applyAlignment="1">
      <alignment horizontal="left"/>
    </xf>
    <xf numFmtId="0" fontId="16" fillId="2" borderId="0" xfId="2" applyFont="1" applyFill="1" applyAlignment="1">
      <alignment horizontal="center"/>
    </xf>
    <xf numFmtId="0" fontId="16" fillId="2" borderId="0" xfId="2" applyFont="1" applyFill="1" applyAlignment="1">
      <alignment vertical="top"/>
    </xf>
    <xf numFmtId="0" fontId="16" fillId="2" borderId="0" xfId="2" applyFont="1" applyFill="1" applyAlignment="1">
      <alignment horizontal="center" vertical="center"/>
    </xf>
    <xf numFmtId="165" fontId="16" fillId="2" borderId="0" xfId="2" applyNumberFormat="1" applyFont="1" applyFill="1" applyAlignment="1">
      <alignment horizontal="left" vertical="center"/>
    </xf>
    <xf numFmtId="0" fontId="16" fillId="2" borderId="0" xfId="2" applyFont="1" applyFill="1" applyAlignment="1">
      <alignment horizontal="left" vertical="center"/>
    </xf>
    <xf numFmtId="0" fontId="16" fillId="2" borderId="0" xfId="2" applyFont="1" applyFill="1" applyAlignment="1">
      <alignment horizontal="left"/>
    </xf>
    <xf numFmtId="0" fontId="16" fillId="2" borderId="0" xfId="2" applyFont="1" applyFill="1" applyAlignment="1">
      <alignment horizontal="left" vertical="top"/>
    </xf>
    <xf numFmtId="165" fontId="16" fillId="2" borderId="0" xfId="0" applyNumberFormat="1" applyFont="1" applyFill="1" applyAlignment="1">
      <alignment horizontal="left"/>
    </xf>
    <xf numFmtId="0" fontId="21" fillId="2" borderId="0" xfId="0" applyFont="1" applyFill="1" applyAlignment="1">
      <alignment horizontal="left"/>
    </xf>
    <xf numFmtId="0" fontId="22" fillId="0" borderId="0" xfId="0" applyFont="1"/>
    <xf numFmtId="0" fontId="22" fillId="0" borderId="0" xfId="0" applyFont="1" applyAlignment="1">
      <alignment horizontal="left"/>
    </xf>
    <xf numFmtId="165" fontId="22" fillId="0" borderId="0" xfId="2" applyNumberFormat="1" applyFont="1" applyAlignment="1">
      <alignment horizontal="left"/>
    </xf>
    <xf numFmtId="0" fontId="22" fillId="0" borderId="0" xfId="2" applyFont="1" applyAlignment="1">
      <alignment horizontal="center"/>
    </xf>
    <xf numFmtId="0" fontId="22" fillId="0" borderId="0" xfId="0" applyFont="1" applyAlignment="1">
      <alignment horizontal="center"/>
    </xf>
    <xf numFmtId="0" fontId="36" fillId="2" borderId="0" xfId="0" applyFont="1" applyFill="1"/>
    <xf numFmtId="0" fontId="44" fillId="4" borderId="0" xfId="0" applyFont="1" applyFill="1" applyAlignment="1">
      <alignment vertical="center"/>
    </xf>
    <xf numFmtId="0" fontId="36" fillId="2" borderId="0" xfId="0" applyFont="1" applyFill="1" applyAlignment="1">
      <alignment vertical="center"/>
    </xf>
    <xf numFmtId="0" fontId="36" fillId="4" borderId="0" xfId="0" applyFont="1" applyFill="1" applyAlignment="1">
      <alignment vertical="center"/>
    </xf>
    <xf numFmtId="0" fontId="45" fillId="4" borderId="0" xfId="0" applyFont="1" applyFill="1" applyAlignment="1">
      <alignment vertical="center"/>
    </xf>
    <xf numFmtId="0" fontId="37" fillId="2" borderId="0" xfId="0" applyFont="1" applyFill="1" applyAlignment="1">
      <alignment vertical="center"/>
    </xf>
    <xf numFmtId="0" fontId="37" fillId="2" borderId="0" xfId="0" applyFont="1" applyFill="1" applyAlignment="1">
      <alignment horizontal="center" vertical="center" wrapText="1"/>
    </xf>
    <xf numFmtId="0" fontId="36" fillId="2" borderId="0" xfId="0" applyFont="1" applyFill="1" applyAlignment="1">
      <alignment horizontal="center" vertical="center" wrapText="1"/>
    </xf>
    <xf numFmtId="0" fontId="39" fillId="2" borderId="0" xfId="0" applyFont="1" applyFill="1" applyAlignment="1">
      <alignment horizontal="center" vertical="center" wrapText="1"/>
    </xf>
    <xf numFmtId="0" fontId="40" fillId="2" borderId="0" xfId="0" applyFont="1" applyFill="1" applyAlignment="1">
      <alignment vertical="center"/>
    </xf>
    <xf numFmtId="0" fontId="42" fillId="4" borderId="0" xfId="0" applyFont="1" applyFill="1" applyAlignment="1">
      <alignment vertical="center" wrapText="1"/>
    </xf>
    <xf numFmtId="0" fontId="39" fillId="2" borderId="0" xfId="0" applyFont="1" applyFill="1" applyAlignment="1">
      <alignment vertical="center"/>
    </xf>
    <xf numFmtId="0" fontId="43" fillId="2" borderId="0" xfId="0" applyFont="1" applyFill="1" applyAlignment="1">
      <alignment vertical="center"/>
    </xf>
    <xf numFmtId="0" fontId="46" fillId="2" borderId="0" xfId="0" applyFont="1" applyFill="1" applyAlignment="1">
      <alignment wrapText="1"/>
    </xf>
    <xf numFmtId="0" fontId="46" fillId="2" borderId="0" xfId="3" applyFont="1" applyFill="1" applyAlignment="1">
      <alignment vertical="top" wrapText="1"/>
    </xf>
    <xf numFmtId="0" fontId="37" fillId="2" borderId="0" xfId="0" applyFont="1" applyFill="1"/>
    <xf numFmtId="0" fontId="46" fillId="2" borderId="0" xfId="0" applyFont="1" applyFill="1"/>
    <xf numFmtId="0" fontId="47" fillId="2" borderId="0" xfId="0" applyFont="1" applyFill="1"/>
    <xf numFmtId="0" fontId="37" fillId="2" borderId="0" xfId="0" applyFont="1" applyFill="1" applyAlignment="1">
      <alignment wrapText="1"/>
    </xf>
    <xf numFmtId="0" fontId="46" fillId="2" borderId="0" xfId="3" applyFont="1" applyFill="1"/>
    <xf numFmtId="0" fontId="16" fillId="4" borderId="0" xfId="0" applyFont="1" applyFill="1" applyAlignment="1">
      <alignment horizontal="left" vertical="top" wrapText="1"/>
    </xf>
    <xf numFmtId="0" fontId="49" fillId="2" borderId="0" xfId="0" applyFont="1" applyFill="1"/>
    <xf numFmtId="0" fontId="22" fillId="5" borderId="0" xfId="3" applyFont="1" applyFill="1"/>
    <xf numFmtId="0" fontId="22" fillId="0" borderId="0" xfId="3" applyFont="1"/>
    <xf numFmtId="0" fontId="22" fillId="6" borderId="0" xfId="3" applyFont="1" applyFill="1"/>
    <xf numFmtId="0" fontId="22" fillId="8" borderId="0" xfId="3" applyFont="1" applyFill="1"/>
    <xf numFmtId="0" fontId="22" fillId="9" borderId="0" xfId="3" applyFont="1" applyFill="1"/>
    <xf numFmtId="0" fontId="22" fillId="10" borderId="0" xfId="3" applyFont="1" applyFill="1"/>
    <xf numFmtId="0" fontId="18" fillId="2" borderId="0" xfId="0" applyFont="1" applyFill="1" applyAlignment="1">
      <alignment horizontal="right" indent="2"/>
    </xf>
    <xf numFmtId="0" fontId="21" fillId="2" borderId="0" xfId="0" applyFont="1" applyFill="1" applyAlignment="1">
      <alignment horizontal="right" indent="1"/>
    </xf>
    <xf numFmtId="0" fontId="50" fillId="0" borderId="0" xfId="0" applyFont="1" applyAlignment="1">
      <alignment vertical="center"/>
    </xf>
    <xf numFmtId="0" fontId="49" fillId="2" borderId="0" xfId="0" applyFont="1" applyFill="1" applyAlignment="1">
      <alignment vertical="center"/>
    </xf>
    <xf numFmtId="0" fontId="25" fillId="2" borderId="1" xfId="0" applyFont="1" applyFill="1" applyBorder="1"/>
    <xf numFmtId="0" fontId="25" fillId="2" borderId="1" xfId="0" applyFont="1" applyFill="1" applyBorder="1" applyAlignment="1">
      <alignment horizontal="right"/>
    </xf>
    <xf numFmtId="1" fontId="25" fillId="2" borderId="1" xfId="0" applyNumberFormat="1" applyFont="1" applyFill="1" applyBorder="1" applyAlignment="1">
      <alignment horizontal="right"/>
    </xf>
    <xf numFmtId="0" fontId="21" fillId="2" borderId="1" xfId="0" applyFont="1" applyFill="1" applyBorder="1"/>
    <xf numFmtId="0" fontId="18" fillId="2" borderId="1" xfId="0" applyFont="1" applyFill="1" applyBorder="1" applyAlignment="1">
      <alignment horizontal="right"/>
    </xf>
    <xf numFmtId="164" fontId="18" fillId="2" borderId="1" xfId="0" applyNumberFormat="1" applyFont="1" applyFill="1" applyBorder="1"/>
    <xf numFmtId="0" fontId="18" fillId="2" borderId="1" xfId="0" applyFont="1" applyFill="1" applyBorder="1"/>
    <xf numFmtId="0" fontId="18" fillId="2" borderId="2" xfId="0" applyFont="1" applyFill="1" applyBorder="1"/>
    <xf numFmtId="164" fontId="18" fillId="2" borderId="2" xfId="0" applyNumberFormat="1" applyFont="1" applyFill="1" applyBorder="1"/>
    <xf numFmtId="14" fontId="18" fillId="2" borderId="1" xfId="0" applyNumberFormat="1" applyFont="1" applyFill="1" applyBorder="1"/>
    <xf numFmtId="167" fontId="22" fillId="2" borderId="1" xfId="3" applyNumberFormat="1" applyFont="1" applyFill="1" applyBorder="1" applyAlignment="1">
      <alignment horizontal="left"/>
    </xf>
    <xf numFmtId="1" fontId="18" fillId="2" borderId="1" xfId="1" applyNumberFormat="1" applyFont="1" applyFill="1" applyBorder="1"/>
    <xf numFmtId="2" fontId="18" fillId="2" borderId="1" xfId="0" applyNumberFormat="1" applyFont="1" applyFill="1" applyBorder="1"/>
    <xf numFmtId="3" fontId="18" fillId="2" borderId="1" xfId="0" applyNumberFormat="1" applyFont="1" applyFill="1" applyBorder="1"/>
    <xf numFmtId="164" fontId="18" fillId="2" borderId="1" xfId="1" applyFont="1" applyFill="1" applyBorder="1"/>
    <xf numFmtId="165" fontId="18" fillId="2" borderId="1" xfId="0" applyNumberFormat="1" applyFont="1" applyFill="1" applyBorder="1"/>
    <xf numFmtId="0" fontId="21" fillId="3" borderId="2" xfId="0" applyFont="1" applyFill="1" applyBorder="1" applyAlignment="1">
      <alignment vertical="center"/>
    </xf>
    <xf numFmtId="0" fontId="21" fillId="3" borderId="2" xfId="0" applyFont="1" applyFill="1" applyBorder="1" applyAlignment="1">
      <alignment horizontal="right" vertical="center"/>
    </xf>
    <xf numFmtId="0" fontId="18" fillId="3" borderId="1" xfId="0" applyFont="1" applyFill="1" applyBorder="1"/>
    <xf numFmtId="0" fontId="21" fillId="3" borderId="1" xfId="0" applyFont="1" applyFill="1" applyBorder="1"/>
    <xf numFmtId="0" fontId="21" fillId="3" borderId="2" xfId="0" applyFont="1" applyFill="1" applyBorder="1" applyAlignment="1">
      <alignment horizontal="left" vertical="center"/>
    </xf>
    <xf numFmtId="0" fontId="21" fillId="3" borderId="2" xfId="0" applyFont="1" applyFill="1" applyBorder="1" applyAlignment="1">
      <alignment horizontal="center" vertical="center"/>
    </xf>
    <xf numFmtId="0" fontId="0" fillId="2" borderId="0" xfId="0" applyFill="1" applyAlignment="1">
      <alignment horizontal="left"/>
    </xf>
    <xf numFmtId="0" fontId="18" fillId="2" borderId="0" xfId="1" applyNumberFormat="1" applyFont="1" applyFill="1" applyAlignment="1">
      <alignment horizontal="right"/>
    </xf>
    <xf numFmtId="165" fontId="16" fillId="2" borderId="1" xfId="2" applyNumberFormat="1" applyFont="1" applyFill="1" applyBorder="1" applyAlignment="1">
      <alignment horizontal="left"/>
    </xf>
    <xf numFmtId="0" fontId="16" fillId="2" borderId="1" xfId="2" applyFont="1" applyFill="1" applyBorder="1" applyAlignment="1">
      <alignment horizontal="center"/>
    </xf>
    <xf numFmtId="0" fontId="18" fillId="2" borderId="1" xfId="0" applyFont="1" applyFill="1" applyBorder="1" applyAlignment="1">
      <alignment horizontal="center"/>
    </xf>
    <xf numFmtId="0" fontId="21" fillId="0" borderId="0" xfId="0" applyFont="1" applyAlignment="1">
      <alignment horizontal="left"/>
    </xf>
    <xf numFmtId="0" fontId="0" fillId="0" borderId="0" xfId="0" applyAlignment="1">
      <alignment horizontal="right"/>
    </xf>
    <xf numFmtId="0" fontId="18" fillId="2" borderId="1" xfId="1" applyNumberFormat="1" applyFont="1" applyFill="1" applyBorder="1" applyAlignment="1">
      <alignment horizontal="right"/>
    </xf>
    <xf numFmtId="2" fontId="18" fillId="2" borderId="0" xfId="0" applyNumberFormat="1" applyFont="1" applyFill="1" applyAlignment="1">
      <alignment vertical="center"/>
    </xf>
    <xf numFmtId="2" fontId="18" fillId="2" borderId="1" xfId="0" applyNumberFormat="1" applyFont="1" applyFill="1" applyBorder="1" applyAlignment="1">
      <alignment vertical="center"/>
    </xf>
    <xf numFmtId="0" fontId="5" fillId="0" borderId="0" xfId="63"/>
    <xf numFmtId="0" fontId="22" fillId="2" borderId="0" xfId="0" applyFont="1" applyFill="1" applyAlignment="1">
      <alignment vertical="center" wrapText="1"/>
    </xf>
    <xf numFmtId="164" fontId="18" fillId="2" borderId="0" xfId="1" applyFont="1" applyFill="1" applyAlignment="1">
      <alignment wrapText="1"/>
    </xf>
    <xf numFmtId="164" fontId="18" fillId="2" borderId="4" xfId="1" applyFont="1" applyFill="1" applyBorder="1"/>
    <xf numFmtId="164" fontId="18" fillId="2" borderId="4" xfId="1" applyFont="1" applyFill="1" applyBorder="1" applyAlignment="1">
      <alignment wrapText="1"/>
    </xf>
    <xf numFmtId="166" fontId="18" fillId="0" borderId="0" xfId="0" applyNumberFormat="1" applyFont="1" applyAlignment="1">
      <alignment horizontal="right"/>
    </xf>
    <xf numFmtId="166" fontId="18" fillId="0" borderId="0" xfId="1" applyNumberFormat="1" applyFont="1" applyAlignment="1">
      <alignment horizontal="right"/>
    </xf>
    <xf numFmtId="166" fontId="18" fillId="0" borderId="0" xfId="1" applyNumberFormat="1" applyFont="1" applyFill="1" applyAlignment="1">
      <alignment horizontal="right"/>
    </xf>
    <xf numFmtId="0" fontId="22" fillId="0" borderId="0" xfId="0" applyFont="1" applyAlignment="1">
      <alignment horizontal="right"/>
    </xf>
    <xf numFmtId="14" fontId="22" fillId="0" borderId="0" xfId="0" applyNumberFormat="1" applyFont="1" applyAlignment="1">
      <alignment horizontal="right"/>
    </xf>
    <xf numFmtId="164" fontId="18" fillId="0" borderId="0" xfId="0" applyNumberFormat="1" applyFont="1" applyAlignment="1">
      <alignment horizontal="right"/>
    </xf>
    <xf numFmtId="166" fontId="22" fillId="0" borderId="0" xfId="1" applyNumberFormat="1" applyFont="1" applyFill="1" applyAlignment="1">
      <alignment horizontal="right"/>
    </xf>
    <xf numFmtId="0" fontId="18" fillId="0" borderId="0" xfId="1" applyNumberFormat="1" applyFont="1" applyAlignment="1">
      <alignment horizontal="right"/>
    </xf>
    <xf numFmtId="165" fontId="25" fillId="2" borderId="0" xfId="0" applyNumberFormat="1" applyFont="1" applyFill="1"/>
    <xf numFmtId="165" fontId="25" fillId="2" borderId="0" xfId="0" applyNumberFormat="1" applyFont="1" applyFill="1" applyAlignment="1">
      <alignment vertical="center"/>
    </xf>
    <xf numFmtId="165" fontId="25" fillId="2" borderId="1" xfId="0" applyNumberFormat="1" applyFont="1" applyFill="1" applyBorder="1"/>
    <xf numFmtId="0" fontId="52" fillId="0" borderId="0" xfId="0" applyFont="1"/>
    <xf numFmtId="0" fontId="22" fillId="2" borderId="0" xfId="0" applyFont="1" applyFill="1" applyAlignment="1">
      <alignment horizontal="left" vertical="center" wrapText="1"/>
    </xf>
    <xf numFmtId="0" fontId="18" fillId="2" borderId="0" xfId="0" applyFont="1" applyFill="1" applyAlignment="1">
      <alignment vertical="center"/>
    </xf>
    <xf numFmtId="0" fontId="51" fillId="0" borderId="0" xfId="0" applyFont="1" applyAlignment="1">
      <alignment vertical="top" wrapText="1"/>
    </xf>
    <xf numFmtId="0" fontId="32" fillId="2" borderId="0" xfId="0" applyFont="1" applyFill="1"/>
    <xf numFmtId="0" fontId="18" fillId="2" borderId="0" xfId="0" applyFont="1" applyFill="1" applyAlignment="1">
      <alignment wrapText="1"/>
    </xf>
    <xf numFmtId="0" fontId="18" fillId="2" borderId="0" xfId="0" applyFont="1" applyFill="1"/>
    <xf numFmtId="0" fontId="22" fillId="2" borderId="0" xfId="0" applyFont="1" applyFill="1" applyAlignment="1">
      <alignment horizontal="left" vertical="top" wrapText="1"/>
    </xf>
    <xf numFmtId="0" fontId="16" fillId="2" borderId="0" xfId="0" applyFont="1" applyFill="1" applyAlignment="1">
      <alignment horizontal="left" vertical="top" wrapText="1"/>
    </xf>
    <xf numFmtId="0" fontId="16" fillId="7" borderId="0" xfId="0" applyFont="1" applyFill="1" applyAlignment="1">
      <alignment horizontal="left" vertical="top" wrapText="1"/>
    </xf>
    <xf numFmtId="0" fontId="38" fillId="3" borderId="0" xfId="0" applyFont="1" applyFill="1" applyAlignment="1">
      <alignment horizontal="center" vertical="center" wrapText="1"/>
    </xf>
    <xf numFmtId="0" fontId="22" fillId="2" borderId="0" xfId="0" applyFont="1" applyFill="1" applyAlignment="1">
      <alignment horizontal="left" vertical="center" wrapText="1"/>
    </xf>
    <xf numFmtId="0" fontId="18" fillId="2" borderId="0" xfId="0" applyFont="1" applyFill="1" applyAlignment="1">
      <alignment vertical="center"/>
    </xf>
    <xf numFmtId="0" fontId="18" fillId="2" borderId="0" xfId="0" applyFont="1" applyFill="1" applyAlignment="1">
      <alignment vertical="top" wrapText="1"/>
    </xf>
    <xf numFmtId="0" fontId="18" fillId="2" borderId="0" xfId="0" applyFont="1" applyFill="1" applyAlignment="1">
      <alignment vertical="top"/>
    </xf>
    <xf numFmtId="0" fontId="18" fillId="0" borderId="0" xfId="0" applyFont="1" applyAlignment="1">
      <alignment wrapText="1"/>
    </xf>
    <xf numFmtId="0" fontId="51" fillId="0" borderId="0" xfId="0" applyFont="1" applyAlignment="1">
      <alignment vertical="top" wrapText="1"/>
    </xf>
    <xf numFmtId="0" fontId="32" fillId="2" borderId="0" xfId="0" applyFont="1" applyFill="1"/>
    <xf numFmtId="0" fontId="21" fillId="3" borderId="3" xfId="0" applyFont="1" applyFill="1" applyBorder="1" applyAlignment="1">
      <alignment horizontal="center"/>
    </xf>
    <xf numFmtId="0" fontId="16" fillId="2" borderId="0" xfId="0" applyFont="1" applyFill="1" applyAlignment="1">
      <alignment vertical="top" wrapText="1"/>
    </xf>
    <xf numFmtId="0" fontId="13" fillId="2" borderId="0" xfId="0" applyFont="1" applyFill="1" applyAlignment="1">
      <alignment vertical="top" wrapText="1"/>
    </xf>
    <xf numFmtId="0" fontId="35" fillId="2" borderId="0" xfId="0" applyFont="1" applyFill="1" applyAlignment="1">
      <alignment vertical="top" wrapText="1"/>
    </xf>
    <xf numFmtId="0" fontId="18" fillId="2" borderId="0" xfId="0" applyFont="1" applyFill="1" applyAlignment="1">
      <alignment wrapText="1"/>
    </xf>
    <xf numFmtId="0" fontId="18" fillId="2" borderId="0" xfId="0" applyFont="1" applyFill="1"/>
    <xf numFmtId="0" fontId="18" fillId="2" borderId="0" xfId="0" applyFont="1" applyFill="1" applyAlignment="1">
      <alignment horizontal="left" vertical="top"/>
    </xf>
  </cellXfs>
  <cellStyles count="153">
    <cellStyle name="Comma" xfId="1" builtinId="3"/>
    <cellStyle name="Comma 2" xfId="12" xr:uid="{029CF36B-8574-44DB-AC69-F03F849735F0}"/>
    <cellStyle name="Comma 2 2" xfId="46" xr:uid="{C07665E9-DEC8-487E-A5F0-7C011572A699}"/>
    <cellStyle name="Comma 2 2 2" xfId="114" xr:uid="{4F21379E-65E7-4FBB-82D6-160252EBAC23}"/>
    <cellStyle name="Comma 2 3" xfId="83" xr:uid="{FA4B2C1D-2603-485E-8A62-0629EEE84480}"/>
    <cellStyle name="Comma 3" xfId="42" xr:uid="{CCA4AFBA-50B4-4EA4-A583-6D210ABFEE9C}"/>
    <cellStyle name="Comma 3 2" xfId="110" xr:uid="{B267A809-0FBC-4695-A616-5908364B9F35}"/>
    <cellStyle name="Comma 4" xfId="84" xr:uid="{21971F2D-DE1E-4CF8-AEBB-5AFBA5BAE27E}"/>
    <cellStyle name="Comma 5" xfId="13" xr:uid="{CAAB2D6C-7278-43AE-BA2A-9FA2994F1B32}"/>
    <cellStyle name="Hyperlink" xfId="63" xr:uid="{11FAD961-FE00-439E-9A6B-2BC5B310EFD9}"/>
    <cellStyle name="Hyperlink 2" xfId="9" xr:uid="{FC7AF715-C5E3-4956-B9F0-DA27993DDFD2}"/>
    <cellStyle name="Komma 3" xfId="53" xr:uid="{7B553101-FF81-4625-8625-D8AF5BE7CA72}"/>
    <cellStyle name="Komma 3 2" xfId="121" xr:uid="{38DAA0DD-6B2E-49C3-9D5A-6EE4E528FE86}"/>
    <cellStyle name="Link 2" xfId="35" xr:uid="{5BF98F2B-8BD7-42E7-AFEF-39AAFC3DDFB9}"/>
    <cellStyle name="Normal" xfId="0" builtinId="0"/>
    <cellStyle name="Normal 2" xfId="4" xr:uid="{A024E1E6-5EE4-4484-920A-7138CD61B44D}"/>
    <cellStyle name="Normal 2 2" xfId="6" xr:uid="{62FA7258-9C9B-4BD9-B8DB-F83F66B8973C}"/>
    <cellStyle name="Normal 2 2 10" xfId="65" xr:uid="{D6270DC8-A9A8-43D2-BFA5-EDDB52A407F9}"/>
    <cellStyle name="Normal 2 2 10 2" xfId="131" xr:uid="{8694E68A-DB04-4A6F-9B6E-8BB210A51EF1}"/>
    <cellStyle name="Normal 2 2 11" xfId="69" xr:uid="{B7EA252E-521B-4A86-A6A6-5F855D1C1200}"/>
    <cellStyle name="Normal 2 2 11 2" xfId="74" xr:uid="{9BE5E06C-9C75-4C85-BCED-F68A3301429E}"/>
    <cellStyle name="Normal 2 2 11 3" xfId="135" xr:uid="{03D8E7E3-49B9-435E-882D-79A180A63AA0}"/>
    <cellStyle name="Normal 2 2 11 4" xfId="140" xr:uid="{1AA9C5F2-C620-47F2-816B-FC89A06DAB4A}"/>
    <cellStyle name="Normal 2 2 11 4 2" xfId="148" xr:uid="{797C1782-420B-4349-9437-E953CDEB1171}"/>
    <cellStyle name="Normal 2 2 11 5" xfId="145" xr:uid="{5DB24C57-67D6-46E4-A413-8FF273F911D1}"/>
    <cellStyle name="Normal 2 2 12" xfId="78" xr:uid="{60B0A1BD-B42E-41C7-BC70-E986B16748B2}"/>
    <cellStyle name="Normal 2 2 2" xfId="17" xr:uid="{4A5A1691-DAA8-44EC-9D18-0DE97D3A98E7}"/>
    <cellStyle name="Normal 2 2 2 2" xfId="19" xr:uid="{E93CA8EE-07C9-4CE0-9A5A-3677F8C58682}"/>
    <cellStyle name="Normal 2 2 2 2 2" xfId="24" xr:uid="{FCF806C4-B19A-49F7-8042-5178F239269D}"/>
    <cellStyle name="Normal 2 2 2 2 2 2" xfId="76" xr:uid="{A5C1958C-038B-4375-9FFA-83D4CF239655}"/>
    <cellStyle name="Normal 2 2 2 2 2 2 2" xfId="144" xr:uid="{42B5B887-C402-4E60-B7FA-2E28BD68E6EE}"/>
    <cellStyle name="Normal 2 2 2 2 2 2 2 2" xfId="151" xr:uid="{B70542C0-73B1-48C7-BA26-6DD03C6DA7EA}"/>
    <cellStyle name="Normal 2 2 2 2 2 3" xfId="94" xr:uid="{94AE7A19-A2D1-4B3E-8B16-A8E5AF780093}"/>
    <cellStyle name="Normal 2 2 2 2 3" xfId="27" xr:uid="{B91C5065-06E4-4104-A72C-EFD26AF6D34D}"/>
    <cellStyle name="Normal 2 2 2 2 3 2" xfId="33" xr:uid="{13D40F33-A500-4AF7-B9AC-9FE52E06EB79}"/>
    <cellStyle name="Normal 2 2 2 2 3 2 2" xfId="103" xr:uid="{A7900F76-BFEE-43DA-BF83-6C3E14E742D7}"/>
    <cellStyle name="Normal 2 2 2 2 3 3" xfId="97" xr:uid="{2A016D30-E105-46BE-A202-66433AEDCEEB}"/>
    <cellStyle name="Normal 2 2 2 2 4" xfId="29" xr:uid="{0741579D-C043-46E9-B478-C981291EC62B}"/>
    <cellStyle name="Normal 2 2 2 2 4 2" xfId="50" xr:uid="{7E6AC5CE-A7E2-4F86-9675-3DD220BAB4FD}"/>
    <cellStyle name="Normal 2 2 2 2 4 2 2" xfId="118" xr:uid="{F72988E6-042A-4A4F-9CB8-843AFCF4B719}"/>
    <cellStyle name="Normal 2 2 2 2 4 3" xfId="99" xr:uid="{19EBE415-A0AA-4199-BCB0-46DDAB7D8BD6}"/>
    <cellStyle name="Normal 2 2 2 2 5" xfId="60" xr:uid="{F700FA9E-7AD7-4CB4-9BCE-C6D308C6BD99}"/>
    <cellStyle name="Normal 2 2 2 2 5 2" xfId="127" xr:uid="{16800394-2F5D-4639-A305-42D8309D0BF1}"/>
    <cellStyle name="Normal 2 2 2 2 6" xfId="67" xr:uid="{56779290-77BC-45EE-86A2-D66895067529}"/>
    <cellStyle name="Normal 2 2 2 2 6 2" xfId="133" xr:uid="{00E56D2C-AB52-4BA3-8C3A-2D14850C5565}"/>
    <cellStyle name="Normal 2 2 2 2 7" xfId="71" xr:uid="{6020E0FF-58A5-4D25-8424-4B9BCB47429B}"/>
    <cellStyle name="Normal 2 2 2 2 7 2" xfId="137" xr:uid="{41980C8F-702A-4BBA-B752-63013354F6D8}"/>
    <cellStyle name="Normal 2 2 2 2 7 3" xfId="141" xr:uid="{FC8D865F-8A0E-44DC-A385-5EC8B813D481}"/>
    <cellStyle name="Normal 2 2 2 2 7 3 2" xfId="149" xr:uid="{AFF2535E-2DF8-4D39-A0D5-3D104FD2BCD4}"/>
    <cellStyle name="Normal 2 2 2 2 7 4" xfId="146" xr:uid="{CE9187AC-3D66-4C00-84C5-582A610E4CAE}"/>
    <cellStyle name="Normal 2 2 2 2 8" xfId="89" xr:uid="{4636D4D2-E8AD-4962-8E05-A3F1A4CE2C7B}"/>
    <cellStyle name="Normal 2 2 2 3" xfId="70" xr:uid="{A05EC40A-1BE8-4401-B927-6D17BC80E21D}"/>
    <cellStyle name="Normal 2 2 2 3 2" xfId="75" xr:uid="{26391E58-552D-4A64-8C05-78A3CB555B77}"/>
    <cellStyle name="Normal 2 2 2 3 3" xfId="136" xr:uid="{9A1500B8-633F-4AC1-8855-133FBE62F6F6}"/>
    <cellStyle name="Normal 2 2 2 4" xfId="87" xr:uid="{191E94A1-2E5A-47EE-A8A5-A026186FD16C}"/>
    <cellStyle name="Normal 2 2 3" xfId="18" xr:uid="{4C9FB0B2-B4A9-47B5-B1A6-DC65AEB5D763}"/>
    <cellStyle name="Normal 2 2 3 2" xfId="37" xr:uid="{944440E3-7241-4465-8AD4-6FF328FB4A26}"/>
    <cellStyle name="Normal 2 2 3 2 2" xfId="105" xr:uid="{F05D2120-D0E8-459A-B3AD-49A60C77C5C2}"/>
    <cellStyle name="Normal 2 2 3 3" xfId="88" xr:uid="{B0CD4478-F1CF-4F2D-A29C-62E52E1055B1}"/>
    <cellStyle name="Normal 2 2 4" xfId="23" xr:uid="{845224A6-F1FF-4295-AFB0-154B730BA1A8}"/>
    <cellStyle name="Normal 2 2 4 2" xfId="93" xr:uid="{9B7F0EE2-0FC0-4C6E-9098-862CFEE3AE7B}"/>
    <cellStyle name="Normal 2 2 5" xfId="26" xr:uid="{72C87688-8E48-4E94-89BD-DD1C840995C4}"/>
    <cellStyle name="Normal 2 2 5 2" xfId="32" xr:uid="{86940A0C-0265-4551-A4A9-55D65A0EE1B2}"/>
    <cellStyle name="Normal 2 2 5 2 2" xfId="102" xr:uid="{EA85BFF8-8EAE-4AC7-8D63-C3F061FA543B}"/>
    <cellStyle name="Normal 2 2 5 3" xfId="96" xr:uid="{39A06BA2-01F7-4A10-A9B5-A1B5434F782C}"/>
    <cellStyle name="Normal 2 2 6" xfId="28" xr:uid="{2F04F2E4-72D3-4249-9293-723E6B5AE174}"/>
    <cellStyle name="Normal 2 2 6 2" xfId="98" xr:uid="{1074F247-D7B9-4B52-BC8D-1CBA923A628C}"/>
    <cellStyle name="Normal 2 2 7" xfId="44" xr:uid="{81906780-17E0-4152-A7DE-8A9F2B604C79}"/>
    <cellStyle name="Normal 2 2 7 2" xfId="112" xr:uid="{C73E1338-034E-41A9-A520-A78EACC0D1B0}"/>
    <cellStyle name="Normal 2 2 8" xfId="55" xr:uid="{E18FFDE8-5CC6-42CD-AEA4-ACD476ECCC3E}"/>
    <cellStyle name="Normal 2 2 8 2" xfId="62" xr:uid="{C703D291-EC99-4BF3-8CC1-50D4992AF3A6}"/>
    <cellStyle name="Normal 2 2 8 2 2" xfId="129" xr:uid="{808C17EC-1306-4658-BA51-B10AB4A74517}"/>
    <cellStyle name="Normal 2 2 8 3" xfId="122" xr:uid="{388AB101-974D-40B2-B06C-4AB17EF0DA2B}"/>
    <cellStyle name="Normal 2 2 9" xfId="58" xr:uid="{779D1A4A-DE11-4749-AA59-660405D7E551}"/>
    <cellStyle name="Normal 2 2 9 2" xfId="125" xr:uid="{56C8B999-1D8B-414D-BA24-C3B14A4B7178}"/>
    <cellStyle name="Normal 2 3" xfId="10" xr:uid="{7F4CE1A9-980F-4219-B259-BC33F7B368C0}"/>
    <cellStyle name="Normal 2 3 2" xfId="81" xr:uid="{FED55E27-C06E-491D-B187-E9168A84FE78}"/>
    <cellStyle name="Normal 2 4" xfId="20" xr:uid="{AA470316-B629-4533-AB13-EB25837D8683}"/>
    <cellStyle name="Normal 2 4 2" xfId="61" xr:uid="{D976615D-8CF8-46D7-A261-8A362EB99E72}"/>
    <cellStyle name="Normal 2 4 2 2" xfId="128" xr:uid="{76900A22-424F-449B-A6A6-C29831FA5E2A}"/>
    <cellStyle name="Normal 2 4 3" xfId="68" xr:uid="{F761E96F-2CBF-44B2-82BD-8374E7FC3D22}"/>
    <cellStyle name="Normal 2 4 3 2" xfId="134" xr:uid="{5C10CD8A-1353-4CF1-9942-0F21E71CD145}"/>
    <cellStyle name="Normal 2 4 4" xfId="90" xr:uid="{FE345E1F-7ED1-41B2-A4AD-28096E489A2E}"/>
    <cellStyle name="Normal 2 5" xfId="21" xr:uid="{03FF8977-002C-4871-BDD4-6E5C92D6B6AA}"/>
    <cellStyle name="Normal 2 5 2" xfId="91" xr:uid="{6FAE6096-F4D1-47B8-9F10-80DD573580AB}"/>
    <cellStyle name="Normal 2 6" xfId="22" xr:uid="{48F28E98-28B2-454C-AD8C-D33A8F86FDF8}"/>
    <cellStyle name="Normal 2 6 2" xfId="25" xr:uid="{C0F8AC9B-5169-45FE-90BD-689C0892F30B}"/>
    <cellStyle name="Normal 2 6 2 2" xfId="95" xr:uid="{C8D792EB-6FD9-4640-A7BA-C5E5BA9063C2}"/>
    <cellStyle name="Normal 2 6 3" xfId="31" xr:uid="{28D6625E-5BDC-4A4B-9307-5C0C807FCF23}"/>
    <cellStyle name="Normal 2 6 3 2" xfId="51" xr:uid="{B700F976-A994-445F-B4B3-EC28FBCCE6CD}"/>
    <cellStyle name="Normal 2 6 3 2 2" xfId="119" xr:uid="{9CE0701B-51E6-4DF0-9CBC-35E89CFD9BC7}"/>
    <cellStyle name="Normal 2 6 3 3" xfId="101" xr:uid="{87735F7B-4A9B-4865-B64D-BF2AB9DC080D}"/>
    <cellStyle name="Normal 2 6 4" xfId="92" xr:uid="{D0540FB0-2E0F-470F-9A56-763A9E4FFAAF}"/>
    <cellStyle name="Normal 2 6 5" xfId="143" xr:uid="{197BE62B-92E7-4F50-B6A5-0433C9B678DE}"/>
    <cellStyle name="Normal 2 7" xfId="57" xr:uid="{2B8D6434-4A1E-49A5-870F-6553A57FD72E}"/>
    <cellStyle name="Normal 2 7 2" xfId="124" xr:uid="{76BAF313-2CED-4B8A-A596-B716B2F4D698}"/>
    <cellStyle name="Normal 2 8" xfId="64" xr:uid="{6ED52C1F-65ED-4865-B53D-4AE055FD6048}"/>
    <cellStyle name="Normal 2 8 2" xfId="130" xr:uid="{61B2ECB1-50EA-4534-A1E6-48D8FAC03216}"/>
    <cellStyle name="Normal 2 9" xfId="77" xr:uid="{4BC3DB5C-E3BE-4E70-8E6F-D3B8FE02C063}"/>
    <cellStyle name="Normal 3" xfId="7" xr:uid="{E7CA9231-2D0D-4C3B-83BB-0EBE337AC7FF}"/>
    <cellStyle name="Normal 3 2" xfId="36" xr:uid="{EA18B340-04C3-48CE-833F-61F82B93BAAC}"/>
    <cellStyle name="Normal 3 2 2" xfId="104" xr:uid="{D37DABFD-E7CF-477F-86AC-4F99097AD514}"/>
    <cellStyle name="Normal 3 3" xfId="79" xr:uid="{46CA96E2-2AFA-4FCC-BD65-9C0471F87147}"/>
    <cellStyle name="Normal 4" xfId="8" xr:uid="{8EED0B16-762A-4F24-B1FF-F853CAB46B9C}"/>
    <cellStyle name="Normal 4 2" xfId="80" xr:uid="{9B25B085-4DAC-49F3-8C8E-722B090593A2}"/>
    <cellStyle name="Normal 5" xfId="11" xr:uid="{9AD25558-B199-4404-8560-3766578FC7CB}"/>
    <cellStyle name="Normal 5 10" xfId="73" xr:uid="{071A9FE2-6322-4101-8DA2-1AA62A2A5FEF}"/>
    <cellStyle name="Normal 5 10 2" xfId="139" xr:uid="{4080592C-51F8-48CC-849A-CA4A9DAB3025}"/>
    <cellStyle name="Normal 5 11" xfId="82" xr:uid="{A76F4D31-CD80-4C92-AEE9-B3F176B9AF39}"/>
    <cellStyle name="Normal 5 2" xfId="30" xr:uid="{96776EB0-B261-4B63-A55C-83E583555CEB}"/>
    <cellStyle name="Normal 5 2 2" xfId="100" xr:uid="{5D266A8A-473E-4D5C-AAE4-04BDF4DA3F75}"/>
    <cellStyle name="Normal 5 3" xfId="38" xr:uid="{735719BF-8E93-4BEA-91C6-63768360E8D0}"/>
    <cellStyle name="Normal 5 3 2" xfId="106" xr:uid="{DFD80BCB-3E99-4716-8101-EFBE7048F102}"/>
    <cellStyle name="Normal 5 4" xfId="40" xr:uid="{F40F4A04-78FC-45A9-80FA-8132E460C5E5}"/>
    <cellStyle name="Normal 5 4 2" xfId="47" xr:uid="{2CA47F7A-09C1-448F-95BC-885A70BC99ED}"/>
    <cellStyle name="Normal 5 4 2 2" xfId="115" xr:uid="{04116876-401B-4AC5-AB6D-464F32E25094}"/>
    <cellStyle name="Normal 5 4 3" xfId="48" xr:uid="{0311DE1F-B8BE-4006-95F2-E1C4262C8191}"/>
    <cellStyle name="Normal 5 4 3 2" xfId="116" xr:uid="{CF8719C3-6FF2-4821-85DD-9CCD112FCF4D}"/>
    <cellStyle name="Normal 5 4 4" xfId="108" xr:uid="{33AE8DD8-0F09-43FC-A42C-E4E5D6FA8572}"/>
    <cellStyle name="Normal 5 4 5" xfId="152" xr:uid="{5655109B-DE1D-4999-8F1A-5FC7374EAAB5}"/>
    <cellStyle name="Normal 5 5" xfId="45" xr:uid="{55915E52-30C8-4A1B-98CA-AB172797EFE4}"/>
    <cellStyle name="Normal 5 5 2" xfId="113" xr:uid="{DCF65BB1-25B4-4010-98F4-C12946C37586}"/>
    <cellStyle name="Normal 5 6" xfId="56" xr:uid="{76938A16-B6FC-4E4C-A27E-1AC2E7E54189}"/>
    <cellStyle name="Normal 5 6 2" xfId="123" xr:uid="{164C73B3-7FBD-4561-86D6-C91EBC98CBB9}"/>
    <cellStyle name="Normal 5 7" xfId="59" xr:uid="{A18D7844-D309-4025-9318-4F80F6F215E0}"/>
    <cellStyle name="Normal 5 7 2" xfId="126" xr:uid="{1761F79F-0E66-4A00-9F86-FE8B65D690CC}"/>
    <cellStyle name="Normal 5 8" xfId="66" xr:uid="{9CD458EE-87AE-44EB-8948-D1A05B25784E}"/>
    <cellStyle name="Normal 5 8 2" xfId="132" xr:uid="{E4D69C60-3371-46E2-9AFD-BE17EC587299}"/>
    <cellStyle name="Normal 5 9" xfId="72" xr:uid="{D13656A5-D759-4376-816A-269AF8E67EC4}"/>
    <cellStyle name="Normal 5 9 2" xfId="138" xr:uid="{27AB3D04-F531-41CA-AC33-3E60CEA875E7}"/>
    <cellStyle name="Normal 5 9 3" xfId="142" xr:uid="{3387F03D-5D53-417B-8EA3-44623507BEDE}"/>
    <cellStyle name="Normal 5 9 3 2" xfId="150" xr:uid="{0DB16656-7158-4D03-B16D-7250F26C3EF8}"/>
    <cellStyle name="Normal 5 9 4" xfId="147" xr:uid="{DD53131D-6419-465F-8AB9-99555CD8A738}"/>
    <cellStyle name="Normal 6" xfId="14" xr:uid="{F9C7F1C2-8FA7-446F-8899-39896A2336C9}"/>
    <cellStyle name="Normal 6 2" xfId="85" xr:uid="{16478DBF-A89E-4C1F-9AC3-A68089A5F013}"/>
    <cellStyle name="Normal 7" xfId="15" xr:uid="{770ACD08-3406-445A-AA82-2F3BCCAA19D0}"/>
    <cellStyle name="Normal 7 2" xfId="86" xr:uid="{7EF8FDD1-842E-46BD-853A-AA5A20B4F47B}"/>
    <cellStyle name="Normal 8" xfId="39" xr:uid="{6FD7C085-F227-497C-8529-70B40E0948C3}"/>
    <cellStyle name="Normal 8 2" xfId="107" xr:uid="{AADEFE85-766A-4104-86F6-397F6C5949B8}"/>
    <cellStyle name="Normal 9" xfId="2" xr:uid="{CAF2274E-7FDC-4140-BD4D-EC78117BEC0A}"/>
    <cellStyle name="Percent 2" xfId="41" xr:uid="{5B8D7D80-EA63-46E7-9D89-56C9F37854C7}"/>
    <cellStyle name="Percent 2 2" xfId="49" xr:uid="{AF35113B-AFE5-41C4-AE7D-1DD57A53BC6F}"/>
    <cellStyle name="Percent 2 2 2" xfId="117" xr:uid="{0509E10C-E5BA-4235-8102-44A809AE572E}"/>
    <cellStyle name="Percent 2 3" xfId="109" xr:uid="{D089BFC0-BFF9-430A-AE50-F1EEF161277F}"/>
    <cellStyle name="Percent 3" xfId="16" xr:uid="{4D8009B8-2E6A-4D5A-990C-7F19254CF080}"/>
    <cellStyle name="Standard 2" xfId="34" xr:uid="{9F4D6447-8880-42B8-85D7-A2951B2664F4}"/>
    <cellStyle name="Standard 2 2" xfId="3" xr:uid="{25AFCE40-D79F-4DD9-86C2-9C693AB034E3}"/>
    <cellStyle name="Standard 2 2 2" xfId="5" xr:uid="{63F629CC-2A52-4646-A101-EA8044492A64}"/>
    <cellStyle name="Standard 3" xfId="43" xr:uid="{9D357431-5DEB-4742-9FA2-D269B74CD59C}"/>
    <cellStyle name="Standard 3 2" xfId="52" xr:uid="{DCCAC7C6-A258-4D92-BADA-D5EECE6AFA27}"/>
    <cellStyle name="Standard 3 2 2" xfId="120" xr:uid="{F1A903CF-AD90-4107-9F45-F06C0D5FF015}"/>
    <cellStyle name="Standard 3 3" xfId="111" xr:uid="{9F285ED0-5490-4107-9E42-299DAF337477}"/>
    <cellStyle name="Standard 4" xfId="54" xr:uid="{5E475615-1E55-41D2-9153-7D173C75B656}"/>
  </cellStyles>
  <dxfs count="0"/>
  <tableStyles count="0" defaultTableStyle="TableStyleMedium2" defaultPivotStyle="PivotStyleLight16"/>
  <colors>
    <mruColors>
      <color rgb="FF9850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eetMetadata" Target="metadata.xml"/><Relationship Id="rId20" Type="http://schemas.openxmlformats.org/officeDocument/2006/relationships/worksheet" Target="worksheets/sheet20.xml"/><Relationship Id="rId41" Type="http://schemas.openxmlformats.org/officeDocument/2006/relationships/worksheet" Target="worksheets/sheet41.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chartUserShapes" Target="../drawings/drawing21.xml"/><Relationship Id="rId2" Type="http://schemas.microsoft.com/office/2011/relationships/chartColorStyle" Target="colors16.xml"/><Relationship Id="rId1" Type="http://schemas.microsoft.com/office/2011/relationships/chartStyle" Target="style16.xml"/></Relationships>
</file>

<file path=xl/charts/_rels/chart11.xml.rels><?xml version="1.0" encoding="UTF-8" standalone="yes"?>
<Relationships xmlns="http://schemas.openxmlformats.org/package/2006/relationships"><Relationship Id="rId3" Type="http://schemas.openxmlformats.org/officeDocument/2006/relationships/chartUserShapes" Target="../drawings/drawing23.xml"/><Relationship Id="rId2" Type="http://schemas.microsoft.com/office/2011/relationships/chartColorStyle" Target="colors17.xml"/><Relationship Id="rId1" Type="http://schemas.microsoft.com/office/2011/relationships/chartStyle" Target="style17.xml"/></Relationships>
</file>

<file path=xl/charts/_rels/chart12.xml.rels><?xml version="1.0" encoding="UTF-8" standalone="yes"?>
<Relationships xmlns="http://schemas.openxmlformats.org/package/2006/relationships"><Relationship Id="rId3" Type="http://schemas.openxmlformats.org/officeDocument/2006/relationships/chartUserShapes" Target="../drawings/drawing25.xml"/><Relationship Id="rId2" Type="http://schemas.microsoft.com/office/2011/relationships/chartColorStyle" Target="colors18.xml"/><Relationship Id="rId1" Type="http://schemas.microsoft.com/office/2011/relationships/chartStyle" Target="style18.xml"/></Relationships>
</file>

<file path=xl/charts/_rels/chart13.xml.rels><?xml version="1.0" encoding="UTF-8" standalone="yes"?>
<Relationships xmlns="http://schemas.openxmlformats.org/package/2006/relationships"><Relationship Id="rId3" Type="http://schemas.openxmlformats.org/officeDocument/2006/relationships/chartUserShapes" Target="../drawings/drawing27.xml"/><Relationship Id="rId2" Type="http://schemas.microsoft.com/office/2011/relationships/chartColorStyle" Target="colors19.xml"/><Relationship Id="rId1" Type="http://schemas.microsoft.com/office/2011/relationships/chartStyle" Target="style19.xml"/></Relationships>
</file>

<file path=xl/charts/_rels/chart14.xml.rels><?xml version="1.0" encoding="UTF-8" standalone="yes"?>
<Relationships xmlns="http://schemas.openxmlformats.org/package/2006/relationships"><Relationship Id="rId3" Type="http://schemas.openxmlformats.org/officeDocument/2006/relationships/chartUserShapes" Target="../drawings/drawing29.xml"/><Relationship Id="rId2" Type="http://schemas.microsoft.com/office/2011/relationships/chartColorStyle" Target="colors20.xml"/><Relationship Id="rId1" Type="http://schemas.microsoft.com/office/2011/relationships/chartStyle" Target="style20.xml"/></Relationships>
</file>

<file path=xl/charts/_rels/chart15.xml.rels><?xml version="1.0" encoding="UTF-8" standalone="yes"?>
<Relationships xmlns="http://schemas.openxmlformats.org/package/2006/relationships"><Relationship Id="rId3" Type="http://schemas.openxmlformats.org/officeDocument/2006/relationships/chartUserShapes" Target="../drawings/drawing31.xml"/><Relationship Id="rId2" Type="http://schemas.microsoft.com/office/2011/relationships/chartColorStyle" Target="colors21.xml"/><Relationship Id="rId1" Type="http://schemas.microsoft.com/office/2011/relationships/chartStyle" Target="style21.xml"/></Relationships>
</file>

<file path=xl/charts/_rels/chart16.xml.rels><?xml version="1.0" encoding="UTF-8" standalone="yes"?>
<Relationships xmlns="http://schemas.openxmlformats.org/package/2006/relationships"><Relationship Id="rId3" Type="http://schemas.openxmlformats.org/officeDocument/2006/relationships/chartUserShapes" Target="../drawings/drawing33.xml"/><Relationship Id="rId2" Type="http://schemas.microsoft.com/office/2011/relationships/chartColorStyle" Target="colors22.xml"/><Relationship Id="rId1" Type="http://schemas.microsoft.com/office/2011/relationships/chartStyle" Target="style22.xml"/></Relationships>
</file>

<file path=xl/charts/_rels/chart17.xml.rels><?xml version="1.0" encoding="UTF-8" standalone="yes"?>
<Relationships xmlns="http://schemas.openxmlformats.org/package/2006/relationships"><Relationship Id="rId3" Type="http://schemas.openxmlformats.org/officeDocument/2006/relationships/chartUserShapes" Target="../drawings/drawing35.xml"/><Relationship Id="rId2" Type="http://schemas.microsoft.com/office/2011/relationships/chartColorStyle" Target="colors23.xml"/><Relationship Id="rId1" Type="http://schemas.microsoft.com/office/2011/relationships/chartStyle" Target="style23.xml"/></Relationships>
</file>

<file path=xl/charts/_rels/chart18.xml.rels><?xml version="1.0" encoding="UTF-8" standalone="yes"?>
<Relationships xmlns="http://schemas.openxmlformats.org/package/2006/relationships"><Relationship Id="rId3" Type="http://schemas.openxmlformats.org/officeDocument/2006/relationships/chartUserShapes" Target="../drawings/drawing37.xml"/><Relationship Id="rId2" Type="http://schemas.microsoft.com/office/2011/relationships/chartColorStyle" Target="colors24.xml"/><Relationship Id="rId1" Type="http://schemas.microsoft.com/office/2011/relationships/chartStyle" Target="style24.xml"/></Relationships>
</file>

<file path=xl/charts/_rels/chart19.xml.rels><?xml version="1.0" encoding="UTF-8" standalone="yes"?>
<Relationships xmlns="http://schemas.openxmlformats.org/package/2006/relationships"><Relationship Id="rId3" Type="http://schemas.openxmlformats.org/officeDocument/2006/relationships/chartUserShapes" Target="../drawings/drawing39.xml"/><Relationship Id="rId2" Type="http://schemas.microsoft.com/office/2011/relationships/chartColorStyle" Target="colors25.xml"/><Relationship Id="rId1" Type="http://schemas.microsoft.com/office/2011/relationships/chartStyle" Target="style25.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3" Type="http://schemas.openxmlformats.org/officeDocument/2006/relationships/chartUserShapes" Target="../drawings/drawing41.xml"/><Relationship Id="rId2" Type="http://schemas.microsoft.com/office/2011/relationships/chartColorStyle" Target="colors26.xml"/><Relationship Id="rId1" Type="http://schemas.microsoft.com/office/2011/relationships/chartStyle" Target="style26.xml"/></Relationships>
</file>

<file path=xl/charts/_rels/chart21.xml.rels><?xml version="1.0" encoding="UTF-8" standalone="yes"?>
<Relationships xmlns="http://schemas.openxmlformats.org/package/2006/relationships"><Relationship Id="rId3" Type="http://schemas.openxmlformats.org/officeDocument/2006/relationships/chartUserShapes" Target="../drawings/drawing43.xml"/><Relationship Id="rId2" Type="http://schemas.microsoft.com/office/2011/relationships/chartColorStyle" Target="colors27.xml"/><Relationship Id="rId1" Type="http://schemas.microsoft.com/office/2011/relationships/chartStyle" Target="style27.xml"/></Relationships>
</file>

<file path=xl/charts/_rels/chart22.xml.rels><?xml version="1.0" encoding="UTF-8" standalone="yes"?>
<Relationships xmlns="http://schemas.openxmlformats.org/package/2006/relationships"><Relationship Id="rId3" Type="http://schemas.openxmlformats.org/officeDocument/2006/relationships/chartUserShapes" Target="../drawings/drawing45.xml"/><Relationship Id="rId2" Type="http://schemas.microsoft.com/office/2011/relationships/chartColorStyle" Target="colors28.xml"/><Relationship Id="rId1" Type="http://schemas.microsoft.com/office/2011/relationships/chartStyle" Target="style28.xml"/></Relationships>
</file>

<file path=xl/charts/_rels/chart23.xml.rels><?xml version="1.0" encoding="UTF-8" standalone="yes"?>
<Relationships xmlns="http://schemas.openxmlformats.org/package/2006/relationships"><Relationship Id="rId3" Type="http://schemas.openxmlformats.org/officeDocument/2006/relationships/chartUserShapes" Target="../drawings/drawing47.xml"/><Relationship Id="rId2" Type="http://schemas.microsoft.com/office/2011/relationships/chartColorStyle" Target="colors29.xml"/><Relationship Id="rId1" Type="http://schemas.microsoft.com/office/2011/relationships/chartStyle" Target="style29.xml"/></Relationships>
</file>

<file path=xl/charts/_rels/chart24.xml.rels><?xml version="1.0" encoding="UTF-8" standalone="yes"?>
<Relationships xmlns="http://schemas.openxmlformats.org/package/2006/relationships"><Relationship Id="rId3" Type="http://schemas.openxmlformats.org/officeDocument/2006/relationships/chartUserShapes" Target="../drawings/drawing49.xml"/><Relationship Id="rId2" Type="http://schemas.microsoft.com/office/2011/relationships/chartColorStyle" Target="colors30.xml"/><Relationship Id="rId1" Type="http://schemas.microsoft.com/office/2011/relationships/chartStyle" Target="style30.xml"/></Relationships>
</file>

<file path=xl/charts/_rels/chart25.xml.rels><?xml version="1.0" encoding="UTF-8" standalone="yes"?>
<Relationships xmlns="http://schemas.openxmlformats.org/package/2006/relationships"><Relationship Id="rId3" Type="http://schemas.openxmlformats.org/officeDocument/2006/relationships/chartUserShapes" Target="../drawings/drawing51.xml"/><Relationship Id="rId2" Type="http://schemas.microsoft.com/office/2011/relationships/chartColorStyle" Target="colors31.xml"/><Relationship Id="rId1" Type="http://schemas.microsoft.com/office/2011/relationships/chartStyle" Target="style31.xml"/></Relationships>
</file>

<file path=xl/charts/_rels/chart26.xml.rels><?xml version="1.0" encoding="UTF-8" standalone="yes"?>
<Relationships xmlns="http://schemas.openxmlformats.org/package/2006/relationships"><Relationship Id="rId3" Type="http://schemas.openxmlformats.org/officeDocument/2006/relationships/chartUserShapes" Target="../drawings/drawing53.xml"/><Relationship Id="rId2" Type="http://schemas.microsoft.com/office/2011/relationships/chartColorStyle" Target="colors32.xml"/><Relationship Id="rId1" Type="http://schemas.microsoft.com/office/2011/relationships/chartStyle" Target="style32.xml"/></Relationships>
</file>

<file path=xl/charts/_rels/chart27.xml.rels><?xml version="1.0" encoding="UTF-8" standalone="yes"?>
<Relationships xmlns="http://schemas.openxmlformats.org/package/2006/relationships"><Relationship Id="rId3" Type="http://schemas.openxmlformats.org/officeDocument/2006/relationships/chartUserShapes" Target="../drawings/drawing55.xml"/><Relationship Id="rId2" Type="http://schemas.microsoft.com/office/2011/relationships/chartColorStyle" Target="colors33.xml"/><Relationship Id="rId1" Type="http://schemas.microsoft.com/office/2011/relationships/chartStyle" Target="style33.xml"/></Relationships>
</file>

<file path=xl/charts/_rels/chart28.xml.rels><?xml version="1.0" encoding="UTF-8" standalone="yes"?>
<Relationships xmlns="http://schemas.openxmlformats.org/package/2006/relationships"><Relationship Id="rId3" Type="http://schemas.openxmlformats.org/officeDocument/2006/relationships/chartUserShapes" Target="../drawings/drawing57.xml"/><Relationship Id="rId2" Type="http://schemas.microsoft.com/office/2011/relationships/chartColorStyle" Target="colors34.xml"/><Relationship Id="rId1" Type="http://schemas.microsoft.com/office/2011/relationships/chartStyle" Target="style34.xml"/></Relationships>
</file>

<file path=xl/charts/_rels/chart29.xml.rels><?xml version="1.0" encoding="UTF-8" standalone="yes"?>
<Relationships xmlns="http://schemas.openxmlformats.org/package/2006/relationships"><Relationship Id="rId3" Type="http://schemas.openxmlformats.org/officeDocument/2006/relationships/chartUserShapes" Target="../drawings/drawing59.xml"/><Relationship Id="rId2" Type="http://schemas.microsoft.com/office/2011/relationships/chartColorStyle" Target="colors35.xml"/><Relationship Id="rId1" Type="http://schemas.microsoft.com/office/2011/relationships/chartStyle" Target="style35.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3" Type="http://schemas.openxmlformats.org/officeDocument/2006/relationships/chartUserShapes" Target="../drawings/drawing61.xml"/><Relationship Id="rId2" Type="http://schemas.microsoft.com/office/2011/relationships/chartColorStyle" Target="colors36.xml"/><Relationship Id="rId1" Type="http://schemas.microsoft.com/office/2011/relationships/chartStyle" Target="style36.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15.xml"/><Relationship Id="rId2" Type="http://schemas.microsoft.com/office/2011/relationships/chartColorStyle" Target="colors13.xml"/><Relationship Id="rId1" Type="http://schemas.microsoft.com/office/2011/relationships/chartStyle" Target="style13.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17.xml"/><Relationship Id="rId2" Type="http://schemas.microsoft.com/office/2011/relationships/chartColorStyle" Target="colors14.xml"/><Relationship Id="rId1" Type="http://schemas.microsoft.com/office/2011/relationships/chartStyle" Target="style14.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19.xml"/><Relationship Id="rId2" Type="http://schemas.microsoft.com/office/2011/relationships/chartColorStyle" Target="colors15.xml"/><Relationship Id="rId1" Type="http://schemas.microsoft.com/office/2011/relationships/chartStyle" Target="style15.xml"/></Relationships>
</file>

<file path=xl/charts/_rels/chartEx1.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Ex2.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Ex3.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Ex4.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Ex5.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Ex6.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0286054046798872E-2"/>
          <c:y val="9.6006817453829219E-2"/>
          <c:w val="0.92853215611846474"/>
          <c:h val="0.79419259942985609"/>
        </c:manualLayout>
      </c:layout>
      <c:barChart>
        <c:barDir val="col"/>
        <c:grouping val="clustered"/>
        <c:varyColors val="0"/>
        <c:ser>
          <c:idx val="0"/>
          <c:order val="0"/>
          <c:spPr>
            <a:solidFill>
              <a:schemeClr val="accent1"/>
            </a:solidFill>
            <a:ln>
              <a:solidFill>
                <a:schemeClr val="tx1"/>
              </a:solidFill>
            </a:ln>
            <a:effectLst/>
          </c:spPr>
          <c:invertIfNegative val="0"/>
          <c:cat>
            <c:numRef>
              <c:f>'Fig 5.1 Total Orders'!$B$7:$B$61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5.1 Total Orders'!$C$7:$C$61</c:f>
              <c:numCache>
                <c:formatCode>_(* #,##0.00_);_(* \(#,##0.00\);_(* "-"??_);_(@_)</c:formatCode>
                <c:ptCount val="55"/>
                <c:pt idx="0">
                  <c:v>0</c:v>
                </c:pt>
                <c:pt idx="1">
                  <c:v>0</c:v>
                </c:pt>
                <c:pt idx="2">
                  <c:v>0</c:v>
                </c:pt>
                <c:pt idx="3">
                  <c:v>0</c:v>
                </c:pt>
                <c:pt idx="4">
                  <c:v>0.03</c:v>
                </c:pt>
                <c:pt idx="5">
                  <c:v>13</c:v>
                </c:pt>
                <c:pt idx="6">
                  <c:v>0</c:v>
                </c:pt>
                <c:pt idx="7">
                  <c:v>0.35</c:v>
                </c:pt>
                <c:pt idx="8">
                  <c:v>2.3839999999999999</c:v>
                </c:pt>
                <c:pt idx="9">
                  <c:v>0.04</c:v>
                </c:pt>
                <c:pt idx="10">
                  <c:v>9.1859999999999999</c:v>
                </c:pt>
                <c:pt idx="11">
                  <c:v>0.45</c:v>
                </c:pt>
                <c:pt idx="12">
                  <c:v>0</c:v>
                </c:pt>
                <c:pt idx="13">
                  <c:v>8.7999999999999995E-2</c:v>
                </c:pt>
                <c:pt idx="14">
                  <c:v>0</c:v>
                </c:pt>
                <c:pt idx="15">
                  <c:v>3.7</c:v>
                </c:pt>
                <c:pt idx="16">
                  <c:v>2.4020000000000001</c:v>
                </c:pt>
                <c:pt idx="17">
                  <c:v>16.146878000000001</c:v>
                </c:pt>
                <c:pt idx="18">
                  <c:v>0</c:v>
                </c:pt>
                <c:pt idx="19">
                  <c:v>0</c:v>
                </c:pt>
                <c:pt idx="20">
                  <c:v>0</c:v>
                </c:pt>
                <c:pt idx="21">
                  <c:v>0</c:v>
                </c:pt>
                <c:pt idx="22">
                  <c:v>0</c:v>
                </c:pt>
                <c:pt idx="23">
                  <c:v>0</c:v>
                </c:pt>
                <c:pt idx="24">
                  <c:v>0</c:v>
                </c:pt>
                <c:pt idx="25">
                  <c:v>0</c:v>
                </c:pt>
                <c:pt idx="26">
                  <c:v>0</c:v>
                </c:pt>
                <c:pt idx="27">
                  <c:v>0.15</c:v>
                </c:pt>
                <c:pt idx="28">
                  <c:v>2.5139</c:v>
                </c:pt>
                <c:pt idx="29">
                  <c:v>0.13600000000000001</c:v>
                </c:pt>
                <c:pt idx="30">
                  <c:v>7.5159000000000002</c:v>
                </c:pt>
                <c:pt idx="31">
                  <c:v>0</c:v>
                </c:pt>
                <c:pt idx="32">
                  <c:v>0.63700000000000001</c:v>
                </c:pt>
                <c:pt idx="33">
                  <c:v>0.10489999999999999</c:v>
                </c:pt>
                <c:pt idx="34">
                  <c:v>0.15545</c:v>
                </c:pt>
                <c:pt idx="35">
                  <c:v>9.8840000000000003</c:v>
                </c:pt>
                <c:pt idx="36">
                  <c:v>0</c:v>
                </c:pt>
                <c:pt idx="37">
                  <c:v>0.2208</c:v>
                </c:pt>
                <c:pt idx="38">
                  <c:v>1.3744000000000001</c:v>
                </c:pt>
                <c:pt idx="39">
                  <c:v>0.76700000000000002</c:v>
                </c:pt>
                <c:pt idx="40">
                  <c:v>2.0152999999999999</c:v>
                </c:pt>
                <c:pt idx="41">
                  <c:v>1.8532</c:v>
                </c:pt>
                <c:pt idx="42">
                  <c:v>9.7448999999999995</c:v>
                </c:pt>
                <c:pt idx="43">
                  <c:v>0</c:v>
                </c:pt>
                <c:pt idx="44">
                  <c:v>0.43630000000000002</c:v>
                </c:pt>
                <c:pt idx="45">
                  <c:v>4.4124999999999996</c:v>
                </c:pt>
                <c:pt idx="46">
                  <c:v>14.9503</c:v>
                </c:pt>
                <c:pt idx="47">
                  <c:v>6.2514799999999999</c:v>
                </c:pt>
                <c:pt idx="48">
                  <c:v>1.23</c:v>
                </c:pt>
                <c:pt idx="49">
                  <c:v>2.8490000000000002</c:v>
                </c:pt>
                <c:pt idx="50">
                  <c:v>4.4318999999999997</c:v>
                </c:pt>
                <c:pt idx="51">
                  <c:v>0.58699999999999997</c:v>
                </c:pt>
                <c:pt idx="52">
                  <c:v>1.8489599999999999</c:v>
                </c:pt>
                <c:pt idx="53">
                  <c:v>9.4770000000000003</c:v>
                </c:pt>
                <c:pt idx="54">
                  <c:v>6.319</c:v>
                </c:pt>
              </c:numCache>
            </c:numRef>
          </c:val>
          <c:extLst>
            <c:ext xmlns:c16="http://schemas.microsoft.com/office/drawing/2014/chart" uri="{C3380CC4-5D6E-409C-BE32-E72D297353CC}">
              <c16:uniqueId val="{00000000-3396-4038-9087-DB46766475AA}"/>
            </c:ext>
          </c:extLst>
        </c:ser>
        <c:dLbls>
          <c:showLegendKey val="0"/>
          <c:showVal val="0"/>
          <c:showCatName val="0"/>
          <c:showSerName val="0"/>
          <c:showPercent val="0"/>
          <c:showBubbleSize val="0"/>
        </c:dLbls>
        <c:gapWidth val="50"/>
        <c:overlap val="100"/>
        <c:axId val="112003664"/>
        <c:axId val="112001744"/>
      </c:barChart>
      <c:dateAx>
        <c:axId val="112003664"/>
        <c:scaling>
          <c:orientation val="minMax"/>
        </c:scaling>
        <c:delete val="0"/>
        <c:axPos val="b"/>
        <c:numFmt formatCode="mmm\-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1744"/>
        <c:crosses val="autoZero"/>
        <c:auto val="1"/>
        <c:lblOffset val="100"/>
        <c:baseTimeUnit val="months"/>
      </c:dateAx>
      <c:valAx>
        <c:axId val="112001744"/>
        <c:scaling>
          <c:orientation val="minMax"/>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366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2"/>
          <c:order val="0"/>
          <c:tx>
            <c:strRef>
              <c:f>'Fig 7.2 No Delivery Date'!$I$6</c:f>
              <c:strCache>
                <c:ptCount val="1"/>
                <c:pt idx="0">
                  <c:v>% Items, no Latest Delivery Date</c:v>
                </c:pt>
              </c:strCache>
            </c:strRef>
          </c:tx>
          <c:spPr>
            <a:ln w="28575" cap="rnd">
              <a:solidFill>
                <a:schemeClr val="accent1"/>
              </a:solidFill>
              <a:round/>
            </a:ln>
            <a:effectLst/>
          </c:spPr>
          <c:marker>
            <c:symbol val="none"/>
          </c:marker>
          <c:trendline>
            <c:spPr>
              <a:ln w="19050" cap="flat">
                <a:solidFill>
                  <a:schemeClr val="tx1"/>
                </a:solidFill>
                <a:prstDash val="sysDot"/>
                <a:round/>
              </a:ln>
              <a:effectLst/>
            </c:spPr>
            <c:trendlineType val="linear"/>
            <c:dispRSqr val="0"/>
            <c:dispEq val="0"/>
          </c:trendline>
          <c:cat>
            <c:numRef>
              <c:f>'Fig 7.2 No Delivery Date'!$H$7:$H$24</c:f>
              <c:numCache>
                <c:formatCode>m/d/yyyy</c:formatCode>
                <c:ptCount val="18"/>
                <c:pt idx="0">
                  <c:v>43891</c:v>
                </c:pt>
                <c:pt idx="1">
                  <c:v>43983</c:v>
                </c:pt>
                <c:pt idx="2">
                  <c:v>44075</c:v>
                </c:pt>
                <c:pt idx="3">
                  <c:v>44166</c:v>
                </c:pt>
                <c:pt idx="4">
                  <c:v>44256</c:v>
                </c:pt>
                <c:pt idx="5">
                  <c:v>44348</c:v>
                </c:pt>
                <c:pt idx="6">
                  <c:v>44440</c:v>
                </c:pt>
                <c:pt idx="7">
                  <c:v>44531</c:v>
                </c:pt>
                <c:pt idx="8">
                  <c:v>44621</c:v>
                </c:pt>
                <c:pt idx="9">
                  <c:v>44713</c:v>
                </c:pt>
                <c:pt idx="10">
                  <c:v>44805</c:v>
                </c:pt>
                <c:pt idx="11">
                  <c:v>44896</c:v>
                </c:pt>
                <c:pt idx="12">
                  <c:v>44986</c:v>
                </c:pt>
                <c:pt idx="13">
                  <c:v>45078</c:v>
                </c:pt>
                <c:pt idx="14">
                  <c:v>45170</c:v>
                </c:pt>
                <c:pt idx="15">
                  <c:v>45261</c:v>
                </c:pt>
                <c:pt idx="16">
                  <c:v>45352</c:v>
                </c:pt>
                <c:pt idx="17">
                  <c:v>45474</c:v>
                </c:pt>
              </c:numCache>
            </c:numRef>
          </c:cat>
          <c:val>
            <c:numRef>
              <c:f>'Fig 7.2 No Delivery Date'!$I$7:$I$24</c:f>
              <c:numCache>
                <c:formatCode>0.00</c:formatCode>
                <c:ptCount val="18"/>
                <c:pt idx="0">
                  <c:v>0</c:v>
                </c:pt>
                <c:pt idx="1">
                  <c:v>0.1111111111111111</c:v>
                </c:pt>
                <c:pt idx="2">
                  <c:v>0.14285714285714285</c:v>
                </c:pt>
                <c:pt idx="3">
                  <c:v>0.46153846153846151</c:v>
                </c:pt>
                <c:pt idx="4">
                  <c:v>0</c:v>
                </c:pt>
                <c:pt idx="5">
                  <c:v>0.3852150537634409</c:v>
                </c:pt>
                <c:pt idx="6">
                  <c:v>0</c:v>
                </c:pt>
                <c:pt idx="7">
                  <c:v>0</c:v>
                </c:pt>
                <c:pt idx="8">
                  <c:v>0</c:v>
                </c:pt>
                <c:pt idx="9">
                  <c:v>0.38095238095238093</c:v>
                </c:pt>
                <c:pt idx="10">
                  <c:v>8.3333333333333329E-2</c:v>
                </c:pt>
                <c:pt idx="11">
                  <c:v>0.26190476190476192</c:v>
                </c:pt>
                <c:pt idx="12">
                  <c:v>5.5555555555555552E-2</c:v>
                </c:pt>
                <c:pt idx="13">
                  <c:v>0.51111111111111107</c:v>
                </c:pt>
                <c:pt idx="14">
                  <c:v>0.31818181818181818</c:v>
                </c:pt>
                <c:pt idx="15">
                  <c:v>0.33862433862433861</c:v>
                </c:pt>
                <c:pt idx="16">
                  <c:v>0.625</c:v>
                </c:pt>
                <c:pt idx="17">
                  <c:v>0.47500000000000003</c:v>
                </c:pt>
              </c:numCache>
            </c:numRef>
          </c:val>
          <c:smooth val="0"/>
          <c:extLst>
            <c:ext xmlns:c16="http://schemas.microsoft.com/office/drawing/2014/chart" uri="{C3380CC4-5D6E-409C-BE32-E72D297353CC}">
              <c16:uniqueId val="{00000000-0426-4756-AEBF-68820A93BAC3}"/>
            </c:ext>
          </c:extLst>
        </c:ser>
        <c:dLbls>
          <c:showLegendKey val="0"/>
          <c:showVal val="0"/>
          <c:showCatName val="0"/>
          <c:showSerName val="0"/>
          <c:showPercent val="0"/>
          <c:showBubbleSize val="0"/>
        </c:dLbls>
        <c:smooth val="0"/>
        <c:axId val="117223903"/>
        <c:axId val="117224863"/>
      </c:lineChart>
      <c:dateAx>
        <c:axId val="117223903"/>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7224863"/>
        <c:crosses val="autoZero"/>
        <c:auto val="1"/>
        <c:lblOffset val="100"/>
        <c:baseTimeUnit val="months"/>
      </c:dateAx>
      <c:valAx>
        <c:axId val="117224863"/>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722390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tx>
            <c:strRef>
              <c:f>'Fig 7.3 Ammunition Unit Costs'!$E$6</c:f>
              <c:strCache>
                <c:ptCount val="1"/>
                <c:pt idx="0">
                  <c:v>Cost per Unit (€)</c:v>
                </c:pt>
              </c:strCache>
            </c:strRef>
          </c:tx>
          <c:spPr>
            <a:ln w="28575" cap="rnd">
              <a:solidFill>
                <a:schemeClr val="accent1"/>
              </a:solidFill>
              <a:round/>
            </a:ln>
            <a:effectLst/>
          </c:spPr>
          <c:marker>
            <c:symbol val="circle"/>
            <c:size val="5"/>
            <c:spPr>
              <a:solidFill>
                <a:schemeClr val="accent1"/>
              </a:solidFill>
              <a:ln w="9525">
                <a:solidFill>
                  <a:schemeClr val="accent1">
                    <a:alpha val="94000"/>
                  </a:schemeClr>
                </a:solidFill>
              </a:ln>
              <a:effectLst/>
            </c:spPr>
          </c:marker>
          <c:dPt>
            <c:idx val="2"/>
            <c:marker>
              <c:symbol val="circle"/>
              <c:size val="5"/>
              <c:spPr>
                <a:solidFill>
                  <a:schemeClr val="accent1"/>
                </a:solidFill>
                <a:ln w="9525">
                  <a:solidFill>
                    <a:schemeClr val="accent1">
                      <a:alpha val="94000"/>
                    </a:schemeClr>
                  </a:solidFill>
                </a:ln>
                <a:effectLst/>
              </c:spPr>
            </c:marker>
            <c:bubble3D val="0"/>
            <c:spPr>
              <a:ln w="38100" cap="rnd">
                <a:solidFill>
                  <a:schemeClr val="accent1"/>
                </a:solidFill>
                <a:round/>
              </a:ln>
              <a:effectLst/>
            </c:spPr>
            <c:extLst>
              <c:ext xmlns:c16="http://schemas.microsoft.com/office/drawing/2014/chart" uri="{C3380CC4-5D6E-409C-BE32-E72D297353CC}">
                <c16:uniqueId val="{00000000-381E-4EA1-B724-B4FC6D8516C0}"/>
              </c:ext>
            </c:extLst>
          </c:dPt>
          <c:xVal>
            <c:numRef>
              <c:f>'Fig 7.3 Ammunition Unit Costs'!$D$7:$D$9</c:f>
              <c:numCache>
                <c:formatCode>_(* #,##0_);_(* \(#,##0\);_(* "-"??_);_(@_)</c:formatCode>
                <c:ptCount val="3"/>
                <c:pt idx="0">
                  <c:v>4700</c:v>
                </c:pt>
                <c:pt idx="1">
                  <c:v>68000</c:v>
                </c:pt>
                <c:pt idx="2">
                  <c:v>300000</c:v>
                </c:pt>
              </c:numCache>
            </c:numRef>
          </c:xVal>
          <c:yVal>
            <c:numRef>
              <c:f>'Fig 7.3 Ammunition Unit Costs'!$E$7:$E$9</c:f>
              <c:numCache>
                <c:formatCode>_(* #,##0_);_(* \(#,##0\);_(* "-"??_);_(@_)</c:formatCode>
                <c:ptCount val="3"/>
                <c:pt idx="0">
                  <c:v>5808.510638297872</c:v>
                </c:pt>
                <c:pt idx="1">
                  <c:v>4088.2352941176468</c:v>
                </c:pt>
                <c:pt idx="2">
                  <c:v>2933.3333333333335</c:v>
                </c:pt>
              </c:numCache>
            </c:numRef>
          </c:yVal>
          <c:smooth val="0"/>
          <c:extLst>
            <c:ext xmlns:c16="http://schemas.microsoft.com/office/drawing/2014/chart" uri="{C3380CC4-5D6E-409C-BE32-E72D297353CC}">
              <c16:uniqueId val="{00000000-BC0B-487E-BD8C-5E5B6700A1B7}"/>
            </c:ext>
          </c:extLst>
        </c:ser>
        <c:dLbls>
          <c:showLegendKey val="0"/>
          <c:showVal val="0"/>
          <c:showCatName val="0"/>
          <c:showSerName val="0"/>
          <c:showPercent val="0"/>
          <c:showBubbleSize val="0"/>
        </c:dLbls>
        <c:axId val="805954384"/>
        <c:axId val="805950544"/>
      </c:scatterChart>
      <c:valAx>
        <c:axId val="805954384"/>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600" b="1" i="0" u="none" strike="noStrike" kern="1200"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defRPr>
                </a:pPr>
                <a:r>
                  <a:rPr lang="en-US" sz="1600" b="1"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rPr>
                  <a:t>Units Ordered</a:t>
                </a:r>
                <a:endParaRPr lang="en-US" sz="1600" b="1">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endParaRPr>
              </a:p>
            </c:rich>
          </c:tx>
          <c:overlay val="0"/>
          <c:spPr>
            <a:noFill/>
            <a:ln>
              <a:noFill/>
            </a:ln>
            <a:effectLst/>
          </c:spPr>
          <c:txPr>
            <a:bodyPr rot="0" spcFirstLastPara="1" vertOverflow="ellipsis" vert="horz" wrap="square" anchor="ctr" anchorCtr="1"/>
            <a:lstStyle/>
            <a:p>
              <a:pPr>
                <a:defRPr sz="1600" b="1" i="0" u="none" strike="noStrike" kern="1200"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title>
        <c:numFmt formatCode="_(* #,##0_);_(* \(#,##0\);_(*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805950544"/>
        <c:crosses val="autoZero"/>
        <c:crossBetween val="midCat"/>
      </c:valAx>
      <c:valAx>
        <c:axId val="805950544"/>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805954384"/>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0286054046798872E-2"/>
          <c:y val="9.6006817453829219E-2"/>
          <c:w val="0.92853215611846474"/>
          <c:h val="0.79499625046869138"/>
        </c:manualLayout>
      </c:layout>
      <c:barChart>
        <c:barDir val="col"/>
        <c:grouping val="stacked"/>
        <c:varyColors val="0"/>
        <c:ser>
          <c:idx val="1"/>
          <c:order val="0"/>
          <c:tx>
            <c:strRef>
              <c:f>'Fig A5.1 Contract Extensions'!$C$6</c:f>
              <c:strCache>
                <c:ptCount val="1"/>
                <c:pt idx="0">
                  <c:v>Military purchases</c:v>
                </c:pt>
              </c:strCache>
            </c:strRef>
          </c:tx>
          <c:spPr>
            <a:solidFill>
              <a:schemeClr val="accent1"/>
            </a:solidFill>
            <a:ln>
              <a:solidFill>
                <a:schemeClr val="tx1"/>
              </a:solidFill>
            </a:ln>
            <a:effectLst/>
          </c:spPr>
          <c:invertIfNegative val="0"/>
          <c:cat>
            <c:numRef>
              <c:f>'Fig A5.1 Contract Extensions'!$B$7:$B$61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A5.1 Contract Extensions'!$C$7:$C$61</c:f>
              <c:numCache>
                <c:formatCode>_(* #,##0.00_);_(* \(#,##0.00\);_(* "-"??_);_(@_)</c:formatCode>
                <c:ptCount val="55"/>
                <c:pt idx="0">
                  <c:v>0</c:v>
                </c:pt>
                <c:pt idx="1">
                  <c:v>0</c:v>
                </c:pt>
                <c:pt idx="2">
                  <c:v>0</c:v>
                </c:pt>
                <c:pt idx="3">
                  <c:v>0</c:v>
                </c:pt>
                <c:pt idx="4">
                  <c:v>0</c:v>
                </c:pt>
                <c:pt idx="5">
                  <c:v>8.4</c:v>
                </c:pt>
                <c:pt idx="6">
                  <c:v>0</c:v>
                </c:pt>
                <c:pt idx="7">
                  <c:v>0.35</c:v>
                </c:pt>
                <c:pt idx="8">
                  <c:v>0.504</c:v>
                </c:pt>
                <c:pt idx="9">
                  <c:v>0.04</c:v>
                </c:pt>
                <c:pt idx="10">
                  <c:v>9.0690000000000008</c:v>
                </c:pt>
                <c:pt idx="11">
                  <c:v>0.45</c:v>
                </c:pt>
                <c:pt idx="12">
                  <c:v>0</c:v>
                </c:pt>
                <c:pt idx="13">
                  <c:v>8.7999999999999995E-2</c:v>
                </c:pt>
                <c:pt idx="14">
                  <c:v>0</c:v>
                </c:pt>
                <c:pt idx="15">
                  <c:v>3.7</c:v>
                </c:pt>
                <c:pt idx="16">
                  <c:v>2.3069999999999999</c:v>
                </c:pt>
                <c:pt idx="17">
                  <c:v>10.666878000000001</c:v>
                </c:pt>
                <c:pt idx="18">
                  <c:v>0</c:v>
                </c:pt>
                <c:pt idx="19">
                  <c:v>0</c:v>
                </c:pt>
                <c:pt idx="20">
                  <c:v>0</c:v>
                </c:pt>
                <c:pt idx="21">
                  <c:v>0</c:v>
                </c:pt>
                <c:pt idx="22">
                  <c:v>0</c:v>
                </c:pt>
                <c:pt idx="23">
                  <c:v>0</c:v>
                </c:pt>
                <c:pt idx="24">
                  <c:v>0</c:v>
                </c:pt>
                <c:pt idx="25">
                  <c:v>0</c:v>
                </c:pt>
                <c:pt idx="26">
                  <c:v>0</c:v>
                </c:pt>
                <c:pt idx="27">
                  <c:v>0.15</c:v>
                </c:pt>
                <c:pt idx="28">
                  <c:v>2.4</c:v>
                </c:pt>
                <c:pt idx="29">
                  <c:v>0.13600000000000001</c:v>
                </c:pt>
                <c:pt idx="30">
                  <c:v>7.5159000000000002</c:v>
                </c:pt>
                <c:pt idx="31">
                  <c:v>0</c:v>
                </c:pt>
                <c:pt idx="32">
                  <c:v>0.63700000000000001</c:v>
                </c:pt>
                <c:pt idx="33">
                  <c:v>0.10489999999999999</c:v>
                </c:pt>
                <c:pt idx="34">
                  <c:v>0.10545</c:v>
                </c:pt>
                <c:pt idx="35">
                  <c:v>9.8840000000000003</c:v>
                </c:pt>
                <c:pt idx="36">
                  <c:v>0</c:v>
                </c:pt>
                <c:pt idx="37">
                  <c:v>0.16800000000000001</c:v>
                </c:pt>
                <c:pt idx="38">
                  <c:v>1.3744000000000001</c:v>
                </c:pt>
                <c:pt idx="39">
                  <c:v>0.76700000000000002</c:v>
                </c:pt>
                <c:pt idx="40">
                  <c:v>2.0152999999999999</c:v>
                </c:pt>
                <c:pt idx="41">
                  <c:v>1.8532</c:v>
                </c:pt>
                <c:pt idx="42">
                  <c:v>9.7448999999999995</c:v>
                </c:pt>
                <c:pt idx="43">
                  <c:v>0</c:v>
                </c:pt>
                <c:pt idx="44">
                  <c:v>0.43630000000000002</c:v>
                </c:pt>
                <c:pt idx="45">
                  <c:v>4.4124999999999996</c:v>
                </c:pt>
                <c:pt idx="46">
                  <c:v>1.5503</c:v>
                </c:pt>
                <c:pt idx="47">
                  <c:v>6.2514799999999999</c:v>
                </c:pt>
                <c:pt idx="48">
                  <c:v>1.23</c:v>
                </c:pt>
                <c:pt idx="49">
                  <c:v>2.8490000000000002</c:v>
                </c:pt>
                <c:pt idx="50">
                  <c:v>4.4318999999999997</c:v>
                </c:pt>
                <c:pt idx="51">
                  <c:v>0.58699999999999997</c:v>
                </c:pt>
                <c:pt idx="52">
                  <c:v>1.8489599999999999</c:v>
                </c:pt>
                <c:pt idx="53">
                  <c:v>9.4770000000000003</c:v>
                </c:pt>
                <c:pt idx="54">
                  <c:v>6.319</c:v>
                </c:pt>
              </c:numCache>
            </c:numRef>
          </c:val>
          <c:extLst>
            <c:ext xmlns:c16="http://schemas.microsoft.com/office/drawing/2014/chart" uri="{C3380CC4-5D6E-409C-BE32-E72D297353CC}">
              <c16:uniqueId val="{00000001-D880-4879-BB80-E1C7C2C269A5}"/>
            </c:ext>
          </c:extLst>
        </c:ser>
        <c:ser>
          <c:idx val="2"/>
          <c:order val="1"/>
          <c:tx>
            <c:strRef>
              <c:f>'Fig A5.1 Contract Extensions'!$D$6</c:f>
              <c:strCache>
                <c:ptCount val="1"/>
                <c:pt idx="0">
                  <c:v>Contract extensions</c:v>
                </c:pt>
              </c:strCache>
            </c:strRef>
          </c:tx>
          <c:spPr>
            <a:pattFill prst="pct70">
              <a:fgClr>
                <a:schemeClr val="accent5"/>
              </a:fgClr>
              <a:bgClr>
                <a:schemeClr val="bg1"/>
              </a:bgClr>
            </a:pattFill>
            <a:ln>
              <a:solidFill>
                <a:schemeClr val="tx1"/>
              </a:solidFill>
            </a:ln>
            <a:effectLst/>
          </c:spPr>
          <c:invertIfNegative val="0"/>
          <c:cat>
            <c:numRef>
              <c:f>'Fig A5.1 Contract Extensions'!$B$7:$B$61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A5.1 Contract Extensions'!$D$7:$D$61</c:f>
              <c:numCache>
                <c:formatCode>_(* #,##0.00_);_(* \(#,##0.00\);_(* "-"??_);_(@_)</c:formatCode>
                <c:ptCount val="55"/>
                <c:pt idx="0">
                  <c:v>0</c:v>
                </c:pt>
                <c:pt idx="1">
                  <c:v>0</c:v>
                </c:pt>
                <c:pt idx="2">
                  <c:v>0</c:v>
                </c:pt>
                <c:pt idx="3">
                  <c:v>0</c:v>
                </c:pt>
                <c:pt idx="4">
                  <c:v>0.03</c:v>
                </c:pt>
                <c:pt idx="5">
                  <c:v>4.5999999999999996</c:v>
                </c:pt>
                <c:pt idx="6">
                  <c:v>0</c:v>
                </c:pt>
                <c:pt idx="7">
                  <c:v>0</c:v>
                </c:pt>
                <c:pt idx="8">
                  <c:v>1.88</c:v>
                </c:pt>
                <c:pt idx="9">
                  <c:v>0</c:v>
                </c:pt>
                <c:pt idx="10">
                  <c:v>0.11700000000000001</c:v>
                </c:pt>
                <c:pt idx="11">
                  <c:v>0</c:v>
                </c:pt>
                <c:pt idx="12">
                  <c:v>0</c:v>
                </c:pt>
                <c:pt idx="13">
                  <c:v>0</c:v>
                </c:pt>
                <c:pt idx="14">
                  <c:v>0</c:v>
                </c:pt>
                <c:pt idx="15">
                  <c:v>0</c:v>
                </c:pt>
                <c:pt idx="16">
                  <c:v>9.5000000000000001E-2</c:v>
                </c:pt>
                <c:pt idx="17">
                  <c:v>5.48</c:v>
                </c:pt>
                <c:pt idx="18">
                  <c:v>0</c:v>
                </c:pt>
                <c:pt idx="19">
                  <c:v>0</c:v>
                </c:pt>
                <c:pt idx="20">
                  <c:v>0</c:v>
                </c:pt>
                <c:pt idx="21">
                  <c:v>0</c:v>
                </c:pt>
                <c:pt idx="22">
                  <c:v>0</c:v>
                </c:pt>
                <c:pt idx="23">
                  <c:v>0</c:v>
                </c:pt>
                <c:pt idx="24">
                  <c:v>0</c:v>
                </c:pt>
                <c:pt idx="25">
                  <c:v>0</c:v>
                </c:pt>
                <c:pt idx="26">
                  <c:v>0</c:v>
                </c:pt>
                <c:pt idx="27">
                  <c:v>0</c:v>
                </c:pt>
                <c:pt idx="28">
                  <c:v>0.1139</c:v>
                </c:pt>
                <c:pt idx="29">
                  <c:v>0</c:v>
                </c:pt>
                <c:pt idx="30">
                  <c:v>0</c:v>
                </c:pt>
                <c:pt idx="31">
                  <c:v>0</c:v>
                </c:pt>
                <c:pt idx="32">
                  <c:v>0</c:v>
                </c:pt>
                <c:pt idx="33">
                  <c:v>0</c:v>
                </c:pt>
                <c:pt idx="34">
                  <c:v>0.05</c:v>
                </c:pt>
                <c:pt idx="35">
                  <c:v>0</c:v>
                </c:pt>
                <c:pt idx="36">
                  <c:v>0</c:v>
                </c:pt>
                <c:pt idx="37">
                  <c:v>5.28E-2</c:v>
                </c:pt>
                <c:pt idx="38">
                  <c:v>0</c:v>
                </c:pt>
                <c:pt idx="39">
                  <c:v>0</c:v>
                </c:pt>
                <c:pt idx="40">
                  <c:v>0</c:v>
                </c:pt>
                <c:pt idx="41">
                  <c:v>0</c:v>
                </c:pt>
                <c:pt idx="42">
                  <c:v>0</c:v>
                </c:pt>
                <c:pt idx="43">
                  <c:v>0</c:v>
                </c:pt>
                <c:pt idx="44">
                  <c:v>0</c:v>
                </c:pt>
                <c:pt idx="45">
                  <c:v>0</c:v>
                </c:pt>
                <c:pt idx="46">
                  <c:v>13.4</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2-D880-4879-BB80-E1C7C2C269A5}"/>
            </c:ext>
          </c:extLst>
        </c:ser>
        <c:dLbls>
          <c:showLegendKey val="0"/>
          <c:showVal val="0"/>
          <c:showCatName val="0"/>
          <c:showSerName val="0"/>
          <c:showPercent val="0"/>
          <c:showBubbleSize val="0"/>
        </c:dLbls>
        <c:gapWidth val="50"/>
        <c:overlap val="100"/>
        <c:axId val="112003664"/>
        <c:axId val="112001744"/>
      </c:barChart>
      <c:dateAx>
        <c:axId val="112003664"/>
        <c:scaling>
          <c:orientation val="minMax"/>
        </c:scaling>
        <c:delete val="0"/>
        <c:axPos val="b"/>
        <c:numFmt formatCode="mmm\-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1744"/>
        <c:crosses val="autoZero"/>
        <c:auto val="1"/>
        <c:lblOffset val="100"/>
        <c:baseTimeUnit val="months"/>
      </c:dateAx>
      <c:valAx>
        <c:axId val="112001744"/>
        <c:scaling>
          <c:orientation val="minMax"/>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3664"/>
        <c:crosses val="autoZero"/>
        <c:crossBetween val="between"/>
      </c:valAx>
      <c:spPr>
        <a:noFill/>
        <a:ln>
          <a:noFill/>
        </a:ln>
        <a:effectLst/>
      </c:spPr>
    </c:plotArea>
    <c:legend>
      <c:legendPos val="r"/>
      <c:layout>
        <c:manualLayout>
          <c:xMode val="edge"/>
          <c:yMode val="edge"/>
          <c:x val="0.58927208877791104"/>
          <c:y val="9.6354361954755649E-2"/>
          <c:w val="0.15871400999260726"/>
          <c:h val="0.18729236970378701"/>
        </c:manualLayout>
      </c:layout>
      <c:overlay val="0"/>
      <c:spPr>
        <a:solidFill>
          <a:sysClr val="window" lastClr="FFFFFF"/>
        </a:solidFill>
        <a:ln>
          <a:noFill/>
        </a:ln>
        <a:effectLst/>
      </c:spPr>
      <c:txPr>
        <a:bodyPr rot="0" spcFirstLastPara="1" vertOverflow="ellipsis" vert="horz" wrap="square" anchor="ctr" anchorCtr="1"/>
        <a:lstStyle/>
        <a:p>
          <a:pPr>
            <a:defRPr sz="1600" b="0" i="0" u="none" strike="noStrike" kern="1200"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9052316028405483E-2"/>
          <c:y val="9.6006817453829219E-2"/>
          <c:w val="0.93379642295186882"/>
          <c:h val="0.79783370828646416"/>
        </c:manualLayout>
      </c:layout>
      <c:barChart>
        <c:barDir val="col"/>
        <c:grouping val="stacked"/>
        <c:varyColors val="0"/>
        <c:ser>
          <c:idx val="0"/>
          <c:order val="0"/>
          <c:tx>
            <c:strRef>
              <c:f>'Fig A5.2 Ammunition (€)'!$C$6</c:f>
              <c:strCache>
                <c:ptCount val="1"/>
                <c:pt idx="0">
                  <c:v>Einzelplan 14</c:v>
                </c:pt>
              </c:strCache>
            </c:strRef>
          </c:tx>
          <c:spPr>
            <a:solidFill>
              <a:schemeClr val="accent1"/>
            </a:solidFill>
            <a:ln>
              <a:solidFill>
                <a:schemeClr val="tx1"/>
              </a:solidFill>
            </a:ln>
            <a:effectLst/>
          </c:spPr>
          <c:invertIfNegative val="0"/>
          <c:cat>
            <c:numRef>
              <c:f>'Fig A5.2 Ammunition (€)'!$B$7:$B$61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A5.2 Ammunition (€)'!$C$7:$C$61</c:f>
              <c:numCache>
                <c:formatCode>_(* #,##0.00_);_(* \(#,##0.00\);_(* "-"??_);_(@_)</c:formatCode>
                <c:ptCount val="55"/>
                <c:pt idx="0">
                  <c:v>0</c:v>
                </c:pt>
                <c:pt idx="1">
                  <c:v>0</c:v>
                </c:pt>
                <c:pt idx="2">
                  <c:v>0</c:v>
                </c:pt>
                <c:pt idx="3">
                  <c:v>0</c:v>
                </c:pt>
                <c:pt idx="4">
                  <c:v>0</c:v>
                </c:pt>
                <c:pt idx="5">
                  <c:v>0</c:v>
                </c:pt>
                <c:pt idx="6">
                  <c:v>0</c:v>
                </c:pt>
                <c:pt idx="7">
                  <c:v>0</c:v>
                </c:pt>
                <c:pt idx="8">
                  <c:v>0</c:v>
                </c:pt>
                <c:pt idx="9">
                  <c:v>0</c:v>
                </c:pt>
                <c:pt idx="10">
                  <c:v>2.5999999999999999E-2</c:v>
                </c:pt>
                <c:pt idx="11">
                  <c:v>0</c:v>
                </c:pt>
                <c:pt idx="12">
                  <c:v>0</c:v>
                </c:pt>
                <c:pt idx="13">
                  <c:v>0</c:v>
                </c:pt>
                <c:pt idx="14">
                  <c:v>0</c:v>
                </c:pt>
                <c:pt idx="15">
                  <c:v>0</c:v>
                </c:pt>
                <c:pt idx="16">
                  <c:v>0</c:v>
                </c:pt>
                <c:pt idx="17">
                  <c:v>5.1999999999999998E-2</c:v>
                </c:pt>
                <c:pt idx="18">
                  <c:v>0</c:v>
                </c:pt>
                <c:pt idx="19">
                  <c:v>0</c:v>
                </c:pt>
                <c:pt idx="20">
                  <c:v>0</c:v>
                </c:pt>
                <c:pt idx="21">
                  <c:v>0</c:v>
                </c:pt>
                <c:pt idx="22">
                  <c:v>0</c:v>
                </c:pt>
                <c:pt idx="23">
                  <c:v>0</c:v>
                </c:pt>
                <c:pt idx="24">
                  <c:v>0</c:v>
                </c:pt>
                <c:pt idx="25">
                  <c:v>0</c:v>
                </c:pt>
                <c:pt idx="26">
                  <c:v>0</c:v>
                </c:pt>
                <c:pt idx="27">
                  <c:v>0</c:v>
                </c:pt>
                <c:pt idx="28">
                  <c:v>0</c:v>
                </c:pt>
                <c:pt idx="29">
                  <c:v>0</c:v>
                </c:pt>
                <c:pt idx="30">
                  <c:v>4.2099999999999999E-2</c:v>
                </c:pt>
                <c:pt idx="31">
                  <c:v>0</c:v>
                </c:pt>
                <c:pt idx="32">
                  <c:v>0</c:v>
                </c:pt>
                <c:pt idx="33">
                  <c:v>0</c:v>
                </c:pt>
                <c:pt idx="34">
                  <c:v>0</c:v>
                </c:pt>
                <c:pt idx="35">
                  <c:v>0</c:v>
                </c:pt>
                <c:pt idx="36">
                  <c:v>0</c:v>
                </c:pt>
                <c:pt idx="37">
                  <c:v>0</c:v>
                </c:pt>
                <c:pt idx="38">
                  <c:v>0</c:v>
                </c:pt>
                <c:pt idx="39">
                  <c:v>0</c:v>
                </c:pt>
                <c:pt idx="40">
                  <c:v>0</c:v>
                </c:pt>
                <c:pt idx="41">
                  <c:v>0</c:v>
                </c:pt>
                <c:pt idx="42">
                  <c:v>9.4899999999999998E-2</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0-7489-4A45-80CC-84BCB021F3D4}"/>
            </c:ext>
          </c:extLst>
        </c:ser>
        <c:ser>
          <c:idx val="1"/>
          <c:order val="1"/>
          <c:tx>
            <c:strRef>
              <c:f>'Fig A5.2 Ammunition (€)'!$D$6</c:f>
              <c:strCache>
                <c:ptCount val="1"/>
                <c:pt idx="0">
                  <c:v>Sondervermögen</c:v>
                </c:pt>
              </c:strCache>
            </c:strRef>
          </c:tx>
          <c:spPr>
            <a:pattFill prst="pct60">
              <a:fgClr>
                <a:schemeClr val="accent5"/>
              </a:fgClr>
              <a:bgClr>
                <a:schemeClr val="bg1"/>
              </a:bgClr>
            </a:pattFill>
            <a:ln>
              <a:solidFill>
                <a:schemeClr val="tx1"/>
              </a:solidFill>
            </a:ln>
            <a:effectLst/>
          </c:spPr>
          <c:invertIfNegative val="0"/>
          <c:cat>
            <c:numRef>
              <c:f>'Fig A5.2 Ammunition (€)'!$B$7:$B$61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A5.2 Ammunition (€)'!$D$7:$D$61</c:f>
              <c:numCache>
                <c:formatCode>_(* #,##0.00_);_(* \(#,##0.00\);_(* "-"??_);_(@_)</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5.3999999999999999E-2</c:v>
                </c:pt>
                <c:pt idx="52">
                  <c:v>0</c:v>
                </c:pt>
                <c:pt idx="53">
                  <c:v>0.88</c:v>
                </c:pt>
                <c:pt idx="54">
                  <c:v>1.3</c:v>
                </c:pt>
              </c:numCache>
            </c:numRef>
          </c:val>
          <c:extLst>
            <c:ext xmlns:c16="http://schemas.microsoft.com/office/drawing/2014/chart" uri="{C3380CC4-5D6E-409C-BE32-E72D297353CC}">
              <c16:uniqueId val="{00000001-7489-4A45-80CC-84BCB021F3D4}"/>
            </c:ext>
          </c:extLst>
        </c:ser>
        <c:ser>
          <c:idx val="2"/>
          <c:order val="2"/>
          <c:tx>
            <c:strRef>
              <c:f>'Fig A5.2 Ammunition (€)'!$E$6</c:f>
              <c:strCache>
                <c:ptCount val="1"/>
                <c:pt idx="0">
                  <c:v>Einzelplan 60</c:v>
                </c:pt>
              </c:strCache>
            </c:strRef>
          </c:tx>
          <c:spPr>
            <a:pattFill prst="dkDnDiag">
              <a:fgClr>
                <a:schemeClr val="accent6"/>
              </a:fgClr>
              <a:bgClr>
                <a:schemeClr val="bg1"/>
              </a:bgClr>
            </a:pattFill>
            <a:ln>
              <a:solidFill>
                <a:schemeClr val="tx1"/>
              </a:solidFill>
            </a:ln>
            <a:effectLst/>
          </c:spPr>
          <c:invertIfNegative val="0"/>
          <c:cat>
            <c:numRef>
              <c:f>'Fig A5.2 Ammunition (€)'!$B$7:$B$61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A5.2 Ammunition (€)'!$E$7:$E$61</c:f>
              <c:numCache>
                <c:formatCode>_(* #,##0.00_);_(* \(#,##0.00\);_(* "-"??_);_(@_)</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0.16800000000000001</c:v>
                </c:pt>
                <c:pt idx="38">
                  <c:v>0</c:v>
                </c:pt>
                <c:pt idx="39">
                  <c:v>0</c:v>
                </c:pt>
                <c:pt idx="40">
                  <c:v>0</c:v>
                </c:pt>
                <c:pt idx="41">
                  <c:v>0</c:v>
                </c:pt>
                <c:pt idx="42">
                  <c:v>0.50900000000000001</c:v>
                </c:pt>
                <c:pt idx="43">
                  <c:v>0</c:v>
                </c:pt>
                <c:pt idx="44">
                  <c:v>0</c:v>
                </c:pt>
                <c:pt idx="45">
                  <c:v>0</c:v>
                </c:pt>
                <c:pt idx="46">
                  <c:v>0</c:v>
                </c:pt>
                <c:pt idx="47">
                  <c:v>0.27800000000000002</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2-7489-4A45-80CC-84BCB021F3D4}"/>
            </c:ext>
          </c:extLst>
        </c:ser>
        <c:dLbls>
          <c:showLegendKey val="0"/>
          <c:showVal val="0"/>
          <c:showCatName val="0"/>
          <c:showSerName val="0"/>
          <c:showPercent val="0"/>
          <c:showBubbleSize val="0"/>
        </c:dLbls>
        <c:gapWidth val="50"/>
        <c:overlap val="100"/>
        <c:axId val="112003664"/>
        <c:axId val="112001744"/>
      </c:barChart>
      <c:dateAx>
        <c:axId val="112003664"/>
        <c:scaling>
          <c:orientation val="minMax"/>
        </c:scaling>
        <c:delete val="0"/>
        <c:axPos val="b"/>
        <c:numFmt formatCode="mmm\-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1744"/>
        <c:crosses val="autoZero"/>
        <c:auto val="1"/>
        <c:lblOffset val="100"/>
        <c:baseTimeUnit val="months"/>
      </c:dateAx>
      <c:valAx>
        <c:axId val="112001744"/>
        <c:scaling>
          <c:orientation val="minMax"/>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3664"/>
        <c:crosses val="autoZero"/>
        <c:crossBetween val="between"/>
      </c:valAx>
      <c:spPr>
        <a:noFill/>
        <a:ln>
          <a:noFill/>
        </a:ln>
        <a:effectLst/>
      </c:spPr>
    </c:plotArea>
    <c:legend>
      <c:legendPos val="r"/>
      <c:layout>
        <c:manualLayout>
          <c:xMode val="edge"/>
          <c:yMode val="edge"/>
          <c:x val="5.8014285643227005E-2"/>
          <c:y val="0.32000484314460692"/>
          <c:w val="0.1559934706519234"/>
          <c:h val="0.34027668416447943"/>
        </c:manualLayout>
      </c:layout>
      <c:overlay val="0"/>
      <c:spPr>
        <a:solidFill>
          <a:sysClr val="window" lastClr="FFFFFF"/>
        </a:solidFill>
        <a:ln>
          <a:noFill/>
        </a:ln>
        <a:effectLst/>
      </c:spPr>
      <c:txPr>
        <a:bodyPr rot="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0286054046798872E-2"/>
          <c:y val="9.6006817453829219E-2"/>
          <c:w val="0.92853215611846474"/>
          <c:h val="0.79547306438239163"/>
        </c:manualLayout>
      </c:layout>
      <c:barChart>
        <c:barDir val="col"/>
        <c:grouping val="stacked"/>
        <c:varyColors val="0"/>
        <c:ser>
          <c:idx val="0"/>
          <c:order val="0"/>
          <c:tx>
            <c:strRef>
              <c:f>'Fig A5.3 Ammunition (units)'!$C$6</c:f>
              <c:strCache>
                <c:ptCount val="1"/>
                <c:pt idx="0">
                  <c:v>Einzelplan 14</c:v>
                </c:pt>
              </c:strCache>
            </c:strRef>
          </c:tx>
          <c:spPr>
            <a:solidFill>
              <a:schemeClr val="accent1"/>
            </a:solidFill>
            <a:ln>
              <a:solidFill>
                <a:schemeClr val="tx1"/>
              </a:solidFill>
            </a:ln>
            <a:effectLst/>
          </c:spPr>
          <c:invertIfNegative val="0"/>
          <c:cat>
            <c:numRef>
              <c:f>'Fig A5.3 Ammunition (units)'!$B$7:$B$61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A5.3 Ammunition (units)'!$C$7:$C$61</c:f>
              <c:numCache>
                <c:formatCode>_(* #,##0_);_(* \(#,##0\);_(* "-"??_);_(@_)</c:formatCode>
                <c:ptCount val="55"/>
                <c:pt idx="0">
                  <c:v>0</c:v>
                </c:pt>
                <c:pt idx="1">
                  <c:v>0</c:v>
                </c:pt>
                <c:pt idx="2">
                  <c:v>0</c:v>
                </c:pt>
                <c:pt idx="3">
                  <c:v>0</c:v>
                </c:pt>
                <c:pt idx="4">
                  <c:v>0</c:v>
                </c:pt>
                <c:pt idx="5">
                  <c:v>0</c:v>
                </c:pt>
                <c:pt idx="6">
                  <c:v>0</c:v>
                </c:pt>
                <c:pt idx="7">
                  <c:v>0</c:v>
                </c:pt>
                <c:pt idx="8">
                  <c:v>0</c:v>
                </c:pt>
                <c:pt idx="9">
                  <c:v>0</c:v>
                </c:pt>
                <c:pt idx="10">
                  <c:v>15000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20715</c:v>
                </c:pt>
                <c:pt idx="31">
                  <c:v>0</c:v>
                </c:pt>
                <c:pt idx="32">
                  <c:v>0</c:v>
                </c:pt>
                <c:pt idx="33">
                  <c:v>0</c:v>
                </c:pt>
                <c:pt idx="34">
                  <c:v>25000</c:v>
                </c:pt>
                <c:pt idx="35">
                  <c:v>0</c:v>
                </c:pt>
                <c:pt idx="36">
                  <c:v>0</c:v>
                </c:pt>
                <c:pt idx="37">
                  <c:v>0</c:v>
                </c:pt>
                <c:pt idx="38">
                  <c:v>0</c:v>
                </c:pt>
                <c:pt idx="39">
                  <c:v>0</c:v>
                </c:pt>
                <c:pt idx="40">
                  <c:v>0</c:v>
                </c:pt>
                <c:pt idx="41">
                  <c:v>0</c:v>
                </c:pt>
                <c:pt idx="42">
                  <c:v>4700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0-D862-4EBB-9B96-1FB0484044A6}"/>
            </c:ext>
          </c:extLst>
        </c:ser>
        <c:ser>
          <c:idx val="1"/>
          <c:order val="1"/>
          <c:tx>
            <c:strRef>
              <c:f>'Fig A5.3 Ammunition (units)'!$D$6</c:f>
              <c:strCache>
                <c:ptCount val="1"/>
                <c:pt idx="0">
                  <c:v>Sondervermögen</c:v>
                </c:pt>
              </c:strCache>
            </c:strRef>
          </c:tx>
          <c:spPr>
            <a:pattFill prst="pct60">
              <a:fgClr>
                <a:schemeClr val="accent5"/>
              </a:fgClr>
              <a:bgClr>
                <a:schemeClr val="bg1"/>
              </a:bgClr>
            </a:pattFill>
            <a:ln>
              <a:solidFill>
                <a:schemeClr val="tx1"/>
              </a:solidFill>
            </a:ln>
            <a:effectLst/>
          </c:spPr>
          <c:invertIfNegative val="0"/>
          <c:cat>
            <c:numRef>
              <c:f>'Fig A5.3 Ammunition (units)'!$B$7:$B$61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A5.3 Ammunition (units)'!$D$7:$D$61</c:f>
              <c:numCache>
                <c:formatCode>_(* #,##0_);_(* \(#,##0\);_(* "-"??_);_(@_)</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15180</c:v>
                </c:pt>
                <c:pt idx="52">
                  <c:v>0</c:v>
                </c:pt>
                <c:pt idx="53">
                  <c:v>300000</c:v>
                </c:pt>
                <c:pt idx="54">
                  <c:v>0</c:v>
                </c:pt>
              </c:numCache>
            </c:numRef>
          </c:val>
          <c:extLst>
            <c:ext xmlns:c16="http://schemas.microsoft.com/office/drawing/2014/chart" uri="{C3380CC4-5D6E-409C-BE32-E72D297353CC}">
              <c16:uniqueId val="{00000001-D862-4EBB-9B96-1FB0484044A6}"/>
            </c:ext>
          </c:extLst>
        </c:ser>
        <c:ser>
          <c:idx val="2"/>
          <c:order val="2"/>
          <c:tx>
            <c:strRef>
              <c:f>'Fig A5.3 Ammunition (units)'!$E$6</c:f>
              <c:strCache>
                <c:ptCount val="1"/>
                <c:pt idx="0">
                  <c:v>Einzelplan 60</c:v>
                </c:pt>
              </c:strCache>
            </c:strRef>
          </c:tx>
          <c:spPr>
            <a:pattFill prst="dkDnDiag">
              <a:fgClr>
                <a:schemeClr val="accent6"/>
              </a:fgClr>
              <a:bgClr>
                <a:schemeClr val="bg1"/>
              </a:bgClr>
            </a:pattFill>
            <a:ln>
              <a:solidFill>
                <a:schemeClr val="tx1"/>
              </a:solidFill>
            </a:ln>
            <a:effectLst/>
          </c:spPr>
          <c:invertIfNegative val="0"/>
          <c:cat>
            <c:numRef>
              <c:f>'Fig A5.3 Ammunition (units)'!$B$7:$B$61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A5.3 Ammunition (units)'!$E$7:$E$61</c:f>
              <c:numCache>
                <c:formatCode>_(* #,##0_);_(* \(#,##0\);_(* "-"??_);_(@_)</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300000</c:v>
                </c:pt>
                <c:pt idx="38">
                  <c:v>0</c:v>
                </c:pt>
                <c:pt idx="39">
                  <c:v>0</c:v>
                </c:pt>
                <c:pt idx="40">
                  <c:v>0</c:v>
                </c:pt>
                <c:pt idx="41">
                  <c:v>0</c:v>
                </c:pt>
                <c:pt idx="42">
                  <c:v>113000</c:v>
                </c:pt>
                <c:pt idx="43">
                  <c:v>0</c:v>
                </c:pt>
                <c:pt idx="44">
                  <c:v>0</c:v>
                </c:pt>
                <c:pt idx="45">
                  <c:v>0</c:v>
                </c:pt>
                <c:pt idx="46">
                  <c:v>0</c:v>
                </c:pt>
                <c:pt idx="47">
                  <c:v>68000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0-4AF1-49E3-906B-763A60EC3E29}"/>
            </c:ext>
          </c:extLst>
        </c:ser>
        <c:dLbls>
          <c:showLegendKey val="0"/>
          <c:showVal val="0"/>
          <c:showCatName val="0"/>
          <c:showSerName val="0"/>
          <c:showPercent val="0"/>
          <c:showBubbleSize val="0"/>
        </c:dLbls>
        <c:gapWidth val="50"/>
        <c:overlap val="100"/>
        <c:axId val="112003664"/>
        <c:axId val="112001744"/>
      </c:barChart>
      <c:dateAx>
        <c:axId val="112003664"/>
        <c:scaling>
          <c:orientation val="minMax"/>
        </c:scaling>
        <c:delete val="0"/>
        <c:axPos val="b"/>
        <c:numFmt formatCode="mmm\-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1744"/>
        <c:crosses val="autoZero"/>
        <c:auto val="1"/>
        <c:lblOffset val="100"/>
        <c:baseTimeUnit val="months"/>
      </c:dateAx>
      <c:valAx>
        <c:axId val="112001744"/>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3664"/>
        <c:crosses val="autoZero"/>
        <c:crossBetween val="between"/>
      </c:valAx>
      <c:spPr>
        <a:noFill/>
        <a:ln>
          <a:noFill/>
        </a:ln>
        <a:effectLst/>
      </c:spPr>
    </c:plotArea>
    <c:legend>
      <c:legendPos val="r"/>
      <c:layout>
        <c:manualLayout>
          <c:xMode val="edge"/>
          <c:yMode val="edge"/>
          <c:x val="7.6947073814130781E-2"/>
          <c:y val="0.27337469841210471"/>
          <c:w val="0.14831203585338315"/>
          <c:h val="0.29420997998765597"/>
        </c:manualLayout>
      </c:layout>
      <c:overlay val="0"/>
      <c:spPr>
        <a:solidFill>
          <a:sysClr val="window" lastClr="FFFFFF"/>
        </a:solidFill>
        <a:ln>
          <a:noFill/>
        </a:ln>
        <a:effectLst/>
      </c:spPr>
      <c:txPr>
        <a:bodyPr rot="0" spcFirstLastPara="1" vertOverflow="ellipsis" vert="horz" wrap="square" anchor="ctr" anchorCtr="1"/>
        <a:lstStyle/>
        <a:p>
          <a:pPr>
            <a:defRPr sz="1600" b="0" i="0" u="none" strike="noStrike" kern="1200"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0286054046798872E-2"/>
          <c:y val="9.6006817453829219E-2"/>
          <c:w val="0.92853215611846474"/>
          <c:h val="0.79949470389835475"/>
        </c:manualLayout>
      </c:layout>
      <c:barChart>
        <c:barDir val="col"/>
        <c:grouping val="stacked"/>
        <c:varyColors val="0"/>
        <c:ser>
          <c:idx val="1"/>
          <c:order val="0"/>
          <c:tx>
            <c:strRef>
              <c:f>'Fig A5.4 Howitzer (€)'!$E$6</c:f>
              <c:strCache>
                <c:ptCount val="1"/>
                <c:pt idx="0">
                  <c:v>Einzelplan 60</c:v>
                </c:pt>
              </c:strCache>
            </c:strRef>
          </c:tx>
          <c:spPr>
            <a:pattFill prst="dkDnDiag">
              <a:fgClr>
                <a:schemeClr val="accent6"/>
              </a:fgClr>
              <a:bgClr>
                <a:schemeClr val="bg1"/>
              </a:bgClr>
            </a:pattFill>
            <a:ln>
              <a:solidFill>
                <a:schemeClr val="tx1"/>
              </a:solidFill>
            </a:ln>
            <a:effectLst/>
          </c:spPr>
          <c:invertIfNegative val="0"/>
          <c:cat>
            <c:numRef>
              <c:f>'Fig A5.4 Howitzer (€)'!$B$7:$B$61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A5.4 Howitzer (€)'!$E$7:$E$61</c:f>
              <c:numCache>
                <c:formatCode>_(* #,##0.00_);_(* \(#,##0.00\);_(* "-"??_);_(@_)</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0.184</c:v>
                </c:pt>
                <c:pt idx="39">
                  <c:v>0</c:v>
                </c:pt>
                <c:pt idx="40">
                  <c:v>0.19070000000000001</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1-5D0A-41D3-9A7A-B920F42FC005}"/>
            </c:ext>
          </c:extLst>
        </c:ser>
        <c:dLbls>
          <c:showLegendKey val="0"/>
          <c:showVal val="0"/>
          <c:showCatName val="0"/>
          <c:showSerName val="0"/>
          <c:showPercent val="0"/>
          <c:showBubbleSize val="0"/>
        </c:dLbls>
        <c:gapWidth val="50"/>
        <c:overlap val="100"/>
        <c:axId val="112003664"/>
        <c:axId val="112001744"/>
      </c:barChart>
      <c:dateAx>
        <c:axId val="112003664"/>
        <c:scaling>
          <c:orientation val="minMax"/>
        </c:scaling>
        <c:delete val="0"/>
        <c:axPos val="b"/>
        <c:numFmt formatCode="mmm\-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1744"/>
        <c:crosses val="autoZero"/>
        <c:auto val="1"/>
        <c:lblOffset val="100"/>
        <c:baseTimeUnit val="months"/>
      </c:dateAx>
      <c:valAx>
        <c:axId val="112001744"/>
        <c:scaling>
          <c:orientation val="minMax"/>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3664"/>
        <c:crosses val="autoZero"/>
        <c:crossBetween val="between"/>
      </c:valAx>
      <c:spPr>
        <a:noFill/>
        <a:ln>
          <a:noFill/>
        </a:ln>
        <a:effectLst/>
      </c:spPr>
    </c:plotArea>
    <c:legend>
      <c:legendPos val="r"/>
      <c:layout>
        <c:manualLayout>
          <c:xMode val="edge"/>
          <c:yMode val="edge"/>
          <c:x val="3.9060311222911884E-2"/>
          <c:y val="0.30434868586632152"/>
          <c:w val="0.13220465825514721"/>
          <c:h val="4.0585002587265669E-2"/>
        </c:manualLayout>
      </c:layout>
      <c:overlay val="0"/>
      <c:spPr>
        <a:solidFill>
          <a:sysClr val="window" lastClr="FFFFFF"/>
        </a:solidFill>
        <a:ln>
          <a:noFill/>
        </a:ln>
        <a:effectLst/>
      </c:spPr>
      <c:txPr>
        <a:bodyPr rot="0" spcFirstLastPara="1" vertOverflow="ellipsis" vert="horz" wrap="square" anchor="ctr" anchorCtr="1"/>
        <a:lstStyle/>
        <a:p>
          <a:pPr>
            <a:defRPr sz="1600" b="0" i="0" u="none" strike="noStrike" kern="1200"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6633473745838476E-2"/>
          <c:y val="9.6006817453829219E-2"/>
          <c:w val="0.94218477888751617"/>
          <c:h val="0.79789510686164233"/>
        </c:manualLayout>
      </c:layout>
      <c:barChart>
        <c:barDir val="col"/>
        <c:grouping val="stacked"/>
        <c:varyColors val="0"/>
        <c:ser>
          <c:idx val="2"/>
          <c:order val="0"/>
          <c:tx>
            <c:strRef>
              <c:f>'Fig A5.5 Howitzer (units)'!$E$6</c:f>
              <c:strCache>
                <c:ptCount val="1"/>
                <c:pt idx="0">
                  <c:v>Einzelplan 60</c:v>
                </c:pt>
              </c:strCache>
            </c:strRef>
          </c:tx>
          <c:spPr>
            <a:pattFill prst="dkDnDiag">
              <a:fgClr>
                <a:schemeClr val="accent6"/>
              </a:fgClr>
              <a:bgClr>
                <a:schemeClr val="bg1"/>
              </a:bgClr>
            </a:pattFill>
            <a:ln>
              <a:solidFill>
                <a:schemeClr val="tx1"/>
              </a:solidFill>
            </a:ln>
            <a:effectLst/>
          </c:spPr>
          <c:invertIfNegative val="0"/>
          <c:cat>
            <c:numRef>
              <c:f>'Fig A5.5 Howitzer (units)'!$B$7:$B$61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A5.5 Howitzer (units)'!$E$7:$E$61</c:f>
              <c:numCache>
                <c:formatCode>_(* #,##0_);_(* \(#,##0\);_(* "-"??_);_(@_)</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10</c:v>
                </c:pt>
                <c:pt idx="39">
                  <c:v>0</c:v>
                </c:pt>
                <c:pt idx="40">
                  <c:v>12</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1-AA7B-45EA-B282-7046FE5E7FB8}"/>
            </c:ext>
          </c:extLst>
        </c:ser>
        <c:dLbls>
          <c:showLegendKey val="0"/>
          <c:showVal val="0"/>
          <c:showCatName val="0"/>
          <c:showSerName val="0"/>
          <c:showPercent val="0"/>
          <c:showBubbleSize val="0"/>
        </c:dLbls>
        <c:gapWidth val="50"/>
        <c:overlap val="100"/>
        <c:axId val="112003664"/>
        <c:axId val="112001744"/>
      </c:barChart>
      <c:dateAx>
        <c:axId val="112003664"/>
        <c:scaling>
          <c:orientation val="minMax"/>
        </c:scaling>
        <c:delete val="0"/>
        <c:axPos val="b"/>
        <c:numFmt formatCode="mmm\-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1744"/>
        <c:crosses val="autoZero"/>
        <c:auto val="1"/>
        <c:lblOffset val="100"/>
        <c:baseTimeUnit val="months"/>
      </c:dateAx>
      <c:valAx>
        <c:axId val="112001744"/>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3664"/>
        <c:crosses val="autoZero"/>
        <c:crossBetween val="between"/>
      </c:valAx>
      <c:spPr>
        <a:noFill/>
        <a:ln>
          <a:noFill/>
        </a:ln>
        <a:effectLst/>
      </c:spPr>
    </c:plotArea>
    <c:legend>
      <c:legendPos val="r"/>
      <c:layout>
        <c:manualLayout>
          <c:xMode val="edge"/>
          <c:yMode val="edge"/>
          <c:x val="4.6411707988297302E-2"/>
          <c:y val="0.32988001499812525"/>
          <c:w val="0.13204903026063142"/>
          <c:h val="5.1801807906541805E-2"/>
        </c:manualLayout>
      </c:layout>
      <c:overlay val="0"/>
      <c:spPr>
        <a:solidFill>
          <a:sysClr val="window" lastClr="FFFFFF"/>
        </a:solidFill>
        <a:ln>
          <a:noFill/>
        </a:ln>
        <a:effectLst/>
      </c:spPr>
      <c:txPr>
        <a:bodyPr rot="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0286054046798872E-2"/>
          <c:y val="9.6006817453829219E-2"/>
          <c:w val="0.92853215611846474"/>
          <c:h val="0.79944569428821399"/>
        </c:manualLayout>
      </c:layout>
      <c:barChart>
        <c:barDir val="col"/>
        <c:grouping val="stacked"/>
        <c:varyColors val="0"/>
        <c:ser>
          <c:idx val="1"/>
          <c:order val="0"/>
          <c:tx>
            <c:strRef>
              <c:f>'Fig A5.6 MBT Tank (€)'!$D$6</c:f>
              <c:strCache>
                <c:ptCount val="1"/>
                <c:pt idx="0">
                  <c:v>Sondervermögen</c:v>
                </c:pt>
              </c:strCache>
            </c:strRef>
          </c:tx>
          <c:spPr>
            <a:pattFill prst="pct60">
              <a:fgClr>
                <a:schemeClr val="accent5"/>
              </a:fgClr>
              <a:bgClr>
                <a:schemeClr val="bg1"/>
              </a:bgClr>
            </a:pattFill>
            <a:ln>
              <a:solidFill>
                <a:schemeClr val="tx1"/>
              </a:solidFill>
            </a:ln>
            <a:effectLst/>
          </c:spPr>
          <c:invertIfNegative val="0"/>
          <c:cat>
            <c:numRef>
              <c:f>'Fig A5.6 MBT Tank (€)'!$B$7:$B$61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A5.6 MBT Tank (€)'!$D$7:$D$61</c:f>
              <c:numCache>
                <c:formatCode>_(* #,##0.00_);_(* \(#,##0.00\);_(* "-"??_);_(@_)</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0.192</c:v>
                </c:pt>
                <c:pt idx="47">
                  <c:v>0</c:v>
                </c:pt>
                <c:pt idx="48">
                  <c:v>0</c:v>
                </c:pt>
                <c:pt idx="49">
                  <c:v>0</c:v>
                </c:pt>
                <c:pt idx="50">
                  <c:v>0</c:v>
                </c:pt>
                <c:pt idx="51">
                  <c:v>0</c:v>
                </c:pt>
                <c:pt idx="52">
                  <c:v>0</c:v>
                </c:pt>
                <c:pt idx="53">
                  <c:v>0</c:v>
                </c:pt>
                <c:pt idx="54">
                  <c:v>2.9</c:v>
                </c:pt>
              </c:numCache>
            </c:numRef>
          </c:val>
          <c:extLst>
            <c:ext xmlns:c16="http://schemas.microsoft.com/office/drawing/2014/chart" uri="{C3380CC4-5D6E-409C-BE32-E72D297353CC}">
              <c16:uniqueId val="{00000000-55DB-490B-8F06-FD752CECAD43}"/>
            </c:ext>
          </c:extLst>
        </c:ser>
        <c:ser>
          <c:idx val="0"/>
          <c:order val="1"/>
          <c:tx>
            <c:strRef>
              <c:f>'Fig A5.6 MBT Tank (€)'!$E$6</c:f>
              <c:strCache>
                <c:ptCount val="1"/>
                <c:pt idx="0">
                  <c:v>Einzelplan 60</c:v>
                </c:pt>
              </c:strCache>
            </c:strRef>
          </c:tx>
          <c:spPr>
            <a:pattFill prst="dkDnDiag">
              <a:fgClr>
                <a:schemeClr val="accent6"/>
              </a:fgClr>
              <a:bgClr>
                <a:schemeClr val="bg1"/>
              </a:bgClr>
            </a:pattFill>
            <a:ln>
              <a:solidFill>
                <a:schemeClr val="tx1"/>
              </a:solidFill>
            </a:ln>
            <a:effectLst/>
          </c:spPr>
          <c:invertIfNegative val="0"/>
          <c:cat>
            <c:numRef>
              <c:f>'Fig A5.6 MBT Tank (€)'!$B$7:$B$61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A5.6 MBT Tank (€)'!$E$7:$E$61</c:f>
              <c:numCache>
                <c:formatCode>_(* #,##0.00_);_(* \(#,##0.00\);_(* "-"??_);_(@_)</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0.52559999999999996</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0-EC28-443E-A97A-3DBC296E8EA7}"/>
            </c:ext>
          </c:extLst>
        </c:ser>
        <c:dLbls>
          <c:showLegendKey val="0"/>
          <c:showVal val="0"/>
          <c:showCatName val="0"/>
          <c:showSerName val="0"/>
          <c:showPercent val="0"/>
          <c:showBubbleSize val="0"/>
        </c:dLbls>
        <c:gapWidth val="50"/>
        <c:overlap val="100"/>
        <c:axId val="112003664"/>
        <c:axId val="112001744"/>
      </c:barChart>
      <c:dateAx>
        <c:axId val="112003664"/>
        <c:scaling>
          <c:orientation val="minMax"/>
        </c:scaling>
        <c:delete val="0"/>
        <c:axPos val="b"/>
        <c:numFmt formatCode="mmm\-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1744"/>
        <c:crosses val="autoZero"/>
        <c:auto val="1"/>
        <c:lblOffset val="100"/>
        <c:baseTimeUnit val="months"/>
      </c:dateAx>
      <c:valAx>
        <c:axId val="112001744"/>
        <c:scaling>
          <c:orientation val="minMax"/>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3664"/>
        <c:crosses val="autoZero"/>
        <c:crossBetween val="between"/>
      </c:valAx>
      <c:spPr>
        <a:noFill/>
        <a:ln>
          <a:noFill/>
        </a:ln>
        <a:effectLst/>
      </c:spPr>
    </c:plotArea>
    <c:legend>
      <c:legendPos val="r"/>
      <c:layout>
        <c:manualLayout>
          <c:xMode val="edge"/>
          <c:yMode val="edge"/>
          <c:x val="5.5895321323470928E-2"/>
          <c:y val="0.31148950131233599"/>
          <c:w val="0.14723589238845144"/>
          <c:h val="0.22926727909011374"/>
        </c:manualLayout>
      </c:layout>
      <c:overlay val="0"/>
      <c:spPr>
        <a:solidFill>
          <a:sysClr val="window" lastClr="FFFFFF"/>
        </a:solidFill>
        <a:ln>
          <a:noFill/>
        </a:ln>
        <a:effectLst/>
      </c:spPr>
      <c:txPr>
        <a:bodyPr rot="0" spcFirstLastPara="1" vertOverflow="ellipsis" vert="horz" wrap="square" anchor="ctr" anchorCtr="1"/>
        <a:lstStyle/>
        <a:p>
          <a:pPr>
            <a:defRPr sz="1600" b="0" i="0" u="none" strike="noStrike" kern="1200"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0286054046798872E-2"/>
          <c:y val="9.6006817453829219E-2"/>
          <c:w val="0.92853215611846474"/>
          <c:h val="0.79508053467157258"/>
        </c:manualLayout>
      </c:layout>
      <c:barChart>
        <c:barDir val="col"/>
        <c:grouping val="stacked"/>
        <c:varyColors val="0"/>
        <c:ser>
          <c:idx val="0"/>
          <c:order val="0"/>
          <c:tx>
            <c:strRef>
              <c:f>'Fig A5.7 MBT Tank (units)'!$D$6</c:f>
              <c:strCache>
                <c:ptCount val="1"/>
                <c:pt idx="0">
                  <c:v>Sondervermögen</c:v>
                </c:pt>
              </c:strCache>
            </c:strRef>
          </c:tx>
          <c:spPr>
            <a:pattFill prst="pct60">
              <a:fgClr>
                <a:schemeClr val="accent5"/>
              </a:fgClr>
              <a:bgClr>
                <a:schemeClr val="bg1"/>
              </a:bgClr>
            </a:pattFill>
            <a:ln>
              <a:solidFill>
                <a:schemeClr val="tx1"/>
              </a:solidFill>
            </a:ln>
            <a:effectLst/>
          </c:spPr>
          <c:invertIfNegative val="0"/>
          <c:cat>
            <c:numRef>
              <c:f>'Fig A5.7 MBT Tank (units)'!$B$7:$B$61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A5.7 MBT Tank (units)'!$D$7:$D$61</c:f>
              <c:numCache>
                <c:formatCode>_(* #,##0_);_(* \(#,##0\);_(* "-"??_);_(@_)</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105</c:v>
                </c:pt>
              </c:numCache>
            </c:numRef>
          </c:val>
          <c:extLst>
            <c:ext xmlns:c16="http://schemas.microsoft.com/office/drawing/2014/chart" uri="{C3380CC4-5D6E-409C-BE32-E72D297353CC}">
              <c16:uniqueId val="{00000000-943B-424E-B997-6AC23290FEF8}"/>
            </c:ext>
          </c:extLst>
        </c:ser>
        <c:ser>
          <c:idx val="1"/>
          <c:order val="1"/>
          <c:tx>
            <c:strRef>
              <c:f>'Fig A5.7 MBT Tank (units)'!$E$6</c:f>
              <c:strCache>
                <c:ptCount val="1"/>
                <c:pt idx="0">
                  <c:v>Einzelplan 60</c:v>
                </c:pt>
              </c:strCache>
            </c:strRef>
          </c:tx>
          <c:spPr>
            <a:pattFill prst="dkDnDiag">
              <a:fgClr>
                <a:schemeClr val="accent6"/>
              </a:fgClr>
              <a:bgClr>
                <a:schemeClr val="bg1"/>
              </a:bgClr>
            </a:pattFill>
            <a:ln>
              <a:solidFill>
                <a:schemeClr val="tx1"/>
              </a:solidFill>
            </a:ln>
            <a:effectLst/>
          </c:spPr>
          <c:invertIfNegative val="0"/>
          <c:cat>
            <c:numRef>
              <c:f>'Fig A5.7 MBT Tank (units)'!$B$7:$B$61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A5.7 MBT Tank (units)'!$E$7:$E$61</c:f>
              <c:numCache>
                <c:formatCode>_(* #,##0_);_(* \(#,##0\);_(* "-"??_);_(@_)</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18</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1-943B-424E-B997-6AC23290FEF8}"/>
            </c:ext>
          </c:extLst>
        </c:ser>
        <c:dLbls>
          <c:showLegendKey val="0"/>
          <c:showVal val="0"/>
          <c:showCatName val="0"/>
          <c:showSerName val="0"/>
          <c:showPercent val="0"/>
          <c:showBubbleSize val="0"/>
        </c:dLbls>
        <c:gapWidth val="50"/>
        <c:overlap val="100"/>
        <c:axId val="112003664"/>
        <c:axId val="112001744"/>
      </c:barChart>
      <c:dateAx>
        <c:axId val="112003664"/>
        <c:scaling>
          <c:orientation val="minMax"/>
        </c:scaling>
        <c:delete val="0"/>
        <c:axPos val="b"/>
        <c:numFmt formatCode="mmm\-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1744"/>
        <c:crosses val="autoZero"/>
        <c:auto val="1"/>
        <c:lblOffset val="100"/>
        <c:baseTimeUnit val="months"/>
      </c:dateAx>
      <c:valAx>
        <c:axId val="112001744"/>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3664"/>
        <c:crosses val="autoZero"/>
        <c:crossBetween val="between"/>
      </c:valAx>
      <c:spPr>
        <a:noFill/>
        <a:ln>
          <a:noFill/>
        </a:ln>
        <a:effectLst/>
      </c:spPr>
    </c:plotArea>
    <c:legend>
      <c:legendPos val="r"/>
      <c:layout>
        <c:manualLayout>
          <c:xMode val="edge"/>
          <c:yMode val="edge"/>
          <c:x val="4.9599418360765549E-2"/>
          <c:y val="0.30846292845974516"/>
          <c:w val="0.14832065764363153"/>
          <c:h val="0.26674952640432431"/>
        </c:manualLayout>
      </c:layout>
      <c:overlay val="0"/>
      <c:spPr>
        <a:solidFill>
          <a:sysClr val="window" lastClr="FFFFFF"/>
        </a:solidFill>
        <a:ln>
          <a:noFill/>
        </a:ln>
        <a:effectLst/>
      </c:spPr>
      <c:txPr>
        <a:bodyPr rot="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0286054046798872E-2"/>
          <c:y val="9.6006817453829219E-2"/>
          <c:w val="0.92853215611846474"/>
          <c:h val="0.79904407014521506"/>
        </c:manualLayout>
      </c:layout>
      <c:barChart>
        <c:barDir val="col"/>
        <c:grouping val="stacked"/>
        <c:varyColors val="0"/>
        <c:ser>
          <c:idx val="1"/>
          <c:order val="0"/>
          <c:tx>
            <c:strRef>
              <c:f>'Fig A5.8 Missile (€)'!$C$6</c:f>
              <c:strCache>
                <c:ptCount val="1"/>
                <c:pt idx="0">
                  <c:v>Einzelplan 14</c:v>
                </c:pt>
              </c:strCache>
            </c:strRef>
          </c:tx>
          <c:spPr>
            <a:solidFill>
              <a:schemeClr val="accent1"/>
            </a:solidFill>
            <a:ln>
              <a:solidFill>
                <a:schemeClr val="tx1"/>
              </a:solidFill>
            </a:ln>
            <a:effectLst/>
          </c:spPr>
          <c:invertIfNegative val="0"/>
          <c:cat>
            <c:numRef>
              <c:f>'Fig A5.8 Missile (€)'!$B$7:$B$61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A5.8 Missile (€)'!$C$7:$C$61</c:f>
              <c:numCache>
                <c:formatCode>_(* #,##0.00_);_(* \(#,##0.00\);_(* "-"??_);_(@_)</c:formatCode>
                <c:ptCount val="55"/>
                <c:pt idx="0">
                  <c:v>0</c:v>
                </c:pt>
                <c:pt idx="1">
                  <c:v>0</c:v>
                </c:pt>
                <c:pt idx="2">
                  <c:v>0</c:v>
                </c:pt>
                <c:pt idx="3">
                  <c:v>0</c:v>
                </c:pt>
                <c:pt idx="4">
                  <c:v>0</c:v>
                </c:pt>
                <c:pt idx="5">
                  <c:v>0</c:v>
                </c:pt>
                <c:pt idx="6">
                  <c:v>0</c:v>
                </c:pt>
                <c:pt idx="7">
                  <c:v>0</c:v>
                </c:pt>
                <c:pt idx="8">
                  <c:v>0.29099999999999998</c:v>
                </c:pt>
                <c:pt idx="9">
                  <c:v>0</c:v>
                </c:pt>
                <c:pt idx="10">
                  <c:v>0</c:v>
                </c:pt>
                <c:pt idx="11">
                  <c:v>0</c:v>
                </c:pt>
                <c:pt idx="12">
                  <c:v>0</c:v>
                </c:pt>
                <c:pt idx="13">
                  <c:v>8.7999999999999995E-2</c:v>
                </c:pt>
                <c:pt idx="14">
                  <c:v>0</c:v>
                </c:pt>
                <c:pt idx="15">
                  <c:v>0</c:v>
                </c:pt>
                <c:pt idx="16">
                  <c:v>0</c:v>
                </c:pt>
                <c:pt idx="17">
                  <c:v>0.42499999999999999</c:v>
                </c:pt>
                <c:pt idx="18">
                  <c:v>0</c:v>
                </c:pt>
                <c:pt idx="19">
                  <c:v>0</c:v>
                </c:pt>
                <c:pt idx="20">
                  <c:v>0</c:v>
                </c:pt>
                <c:pt idx="21">
                  <c:v>0</c:v>
                </c:pt>
                <c:pt idx="22">
                  <c:v>0</c:v>
                </c:pt>
                <c:pt idx="23">
                  <c:v>0</c:v>
                </c:pt>
                <c:pt idx="24">
                  <c:v>0</c:v>
                </c:pt>
                <c:pt idx="25">
                  <c:v>0</c:v>
                </c:pt>
                <c:pt idx="26">
                  <c:v>0</c:v>
                </c:pt>
                <c:pt idx="27">
                  <c:v>0.15</c:v>
                </c:pt>
                <c:pt idx="28">
                  <c:v>0</c:v>
                </c:pt>
                <c:pt idx="29">
                  <c:v>0</c:v>
                </c:pt>
                <c:pt idx="30">
                  <c:v>0</c:v>
                </c:pt>
                <c:pt idx="31">
                  <c:v>0</c:v>
                </c:pt>
                <c:pt idx="32">
                  <c:v>0.63700000000000001</c:v>
                </c:pt>
                <c:pt idx="33">
                  <c:v>0</c:v>
                </c:pt>
                <c:pt idx="34">
                  <c:v>0</c:v>
                </c:pt>
                <c:pt idx="35">
                  <c:v>0</c:v>
                </c:pt>
                <c:pt idx="36">
                  <c:v>0</c:v>
                </c:pt>
                <c:pt idx="37">
                  <c:v>0</c:v>
                </c:pt>
                <c:pt idx="38">
                  <c:v>0</c:v>
                </c:pt>
                <c:pt idx="39">
                  <c:v>0.26900000000000002</c:v>
                </c:pt>
                <c:pt idx="40">
                  <c:v>0</c:v>
                </c:pt>
                <c:pt idx="41">
                  <c:v>0</c:v>
                </c:pt>
                <c:pt idx="42">
                  <c:v>0</c:v>
                </c:pt>
                <c:pt idx="43">
                  <c:v>0</c:v>
                </c:pt>
                <c:pt idx="44">
                  <c:v>0</c:v>
                </c:pt>
                <c:pt idx="45">
                  <c:v>0</c:v>
                </c:pt>
                <c:pt idx="46">
                  <c:v>0</c:v>
                </c:pt>
                <c:pt idx="47">
                  <c:v>0</c:v>
                </c:pt>
                <c:pt idx="48">
                  <c:v>0</c:v>
                </c:pt>
                <c:pt idx="49">
                  <c:v>0</c:v>
                </c:pt>
                <c:pt idx="50">
                  <c:v>0</c:v>
                </c:pt>
                <c:pt idx="51">
                  <c:v>0</c:v>
                </c:pt>
                <c:pt idx="52">
                  <c:v>0.17799999999999999</c:v>
                </c:pt>
                <c:pt idx="53">
                  <c:v>0</c:v>
                </c:pt>
                <c:pt idx="54">
                  <c:v>0</c:v>
                </c:pt>
              </c:numCache>
            </c:numRef>
          </c:val>
          <c:extLst>
            <c:ext xmlns:c16="http://schemas.microsoft.com/office/drawing/2014/chart" uri="{C3380CC4-5D6E-409C-BE32-E72D297353CC}">
              <c16:uniqueId val="{00000000-9C88-4E80-BD0A-7B725E03BFB3}"/>
            </c:ext>
          </c:extLst>
        </c:ser>
        <c:ser>
          <c:idx val="0"/>
          <c:order val="1"/>
          <c:tx>
            <c:strRef>
              <c:f>'Fig A5.8 Missile (€)'!$D$6</c:f>
              <c:strCache>
                <c:ptCount val="1"/>
                <c:pt idx="0">
                  <c:v>Sondervermögen</c:v>
                </c:pt>
              </c:strCache>
            </c:strRef>
          </c:tx>
          <c:spPr>
            <a:pattFill prst="pct60">
              <a:fgClr>
                <a:schemeClr val="accent5"/>
              </a:fgClr>
              <a:bgClr>
                <a:schemeClr val="bg1"/>
              </a:bgClr>
            </a:pattFill>
            <a:ln>
              <a:solidFill>
                <a:schemeClr val="tx1"/>
              </a:solidFill>
            </a:ln>
            <a:effectLst/>
          </c:spPr>
          <c:invertIfNegative val="0"/>
          <c:cat>
            <c:numRef>
              <c:f>'Fig A5.8 Missile (€)'!$B$7:$B$61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A5.8 Missile (€)'!$D$7:$D$61</c:f>
              <c:numCache>
                <c:formatCode>_(* #,##0.00_);_(* \(#,##0.00\);_(* "-"??_);_(@_)</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2.4</c:v>
                </c:pt>
                <c:pt idx="48">
                  <c:v>0</c:v>
                </c:pt>
                <c:pt idx="49">
                  <c:v>0</c:v>
                </c:pt>
                <c:pt idx="50">
                  <c:v>0</c:v>
                </c:pt>
                <c:pt idx="51">
                  <c:v>0</c:v>
                </c:pt>
                <c:pt idx="52">
                  <c:v>0</c:v>
                </c:pt>
                <c:pt idx="53">
                  <c:v>0.376</c:v>
                </c:pt>
                <c:pt idx="54">
                  <c:v>0</c:v>
                </c:pt>
              </c:numCache>
            </c:numRef>
          </c:val>
          <c:extLst>
            <c:ext xmlns:c16="http://schemas.microsoft.com/office/drawing/2014/chart" uri="{C3380CC4-5D6E-409C-BE32-E72D297353CC}">
              <c16:uniqueId val="{00000001-9C88-4E80-BD0A-7B725E03BFB3}"/>
            </c:ext>
          </c:extLst>
        </c:ser>
        <c:ser>
          <c:idx val="2"/>
          <c:order val="2"/>
          <c:tx>
            <c:strRef>
              <c:f>'Fig A5.8 Missile (€)'!$E$6</c:f>
              <c:strCache>
                <c:ptCount val="1"/>
                <c:pt idx="0">
                  <c:v>Einzelplan 60</c:v>
                </c:pt>
              </c:strCache>
            </c:strRef>
          </c:tx>
          <c:spPr>
            <a:pattFill prst="dkDnDiag">
              <a:fgClr>
                <a:schemeClr val="accent6"/>
              </a:fgClr>
              <a:bgClr>
                <a:schemeClr val="bg1"/>
              </a:bgClr>
            </a:pattFill>
            <a:ln>
              <a:solidFill>
                <a:schemeClr val="tx1"/>
              </a:solidFill>
            </a:ln>
            <a:effectLst/>
          </c:spPr>
          <c:invertIfNegative val="0"/>
          <c:cat>
            <c:numRef>
              <c:f>'Fig A5.8 Missile (€)'!$B$7:$B$61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A5.8 Missile (€)'!$E$7:$E$61</c:f>
              <c:numCache>
                <c:formatCode>_(* #,##0.00_);_(* \(#,##0.00\);_(* "-"??_);_(@_)</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0.71</c:v>
                </c:pt>
                <c:pt idx="48">
                  <c:v>0</c:v>
                </c:pt>
                <c:pt idx="49">
                  <c:v>0</c:v>
                </c:pt>
                <c:pt idx="50">
                  <c:v>0</c:v>
                </c:pt>
                <c:pt idx="51">
                  <c:v>0</c:v>
                </c:pt>
                <c:pt idx="52">
                  <c:v>0</c:v>
                </c:pt>
                <c:pt idx="53">
                  <c:v>0.39500000000000002</c:v>
                </c:pt>
                <c:pt idx="54">
                  <c:v>0.2</c:v>
                </c:pt>
              </c:numCache>
            </c:numRef>
          </c:val>
          <c:extLst>
            <c:ext xmlns:c16="http://schemas.microsoft.com/office/drawing/2014/chart" uri="{C3380CC4-5D6E-409C-BE32-E72D297353CC}">
              <c16:uniqueId val="{00000002-9C88-4E80-BD0A-7B725E03BFB3}"/>
            </c:ext>
          </c:extLst>
        </c:ser>
        <c:dLbls>
          <c:showLegendKey val="0"/>
          <c:showVal val="0"/>
          <c:showCatName val="0"/>
          <c:showSerName val="0"/>
          <c:showPercent val="0"/>
          <c:showBubbleSize val="0"/>
        </c:dLbls>
        <c:gapWidth val="50"/>
        <c:overlap val="100"/>
        <c:axId val="112003664"/>
        <c:axId val="112001744"/>
      </c:barChart>
      <c:dateAx>
        <c:axId val="112003664"/>
        <c:scaling>
          <c:orientation val="minMax"/>
        </c:scaling>
        <c:delete val="0"/>
        <c:axPos val="b"/>
        <c:numFmt formatCode="mmm\-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1744"/>
        <c:crosses val="autoZero"/>
        <c:auto val="1"/>
        <c:lblOffset val="100"/>
        <c:baseTimeUnit val="months"/>
      </c:dateAx>
      <c:valAx>
        <c:axId val="112001744"/>
        <c:scaling>
          <c:orientation val="minMax"/>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3664"/>
        <c:crosses val="autoZero"/>
        <c:crossBetween val="between"/>
      </c:valAx>
      <c:spPr>
        <a:noFill/>
        <a:ln>
          <a:noFill/>
        </a:ln>
        <a:effectLst/>
      </c:spPr>
    </c:plotArea>
    <c:legend>
      <c:legendPos val="r"/>
      <c:layout>
        <c:manualLayout>
          <c:xMode val="edge"/>
          <c:yMode val="edge"/>
          <c:x val="5.3802872714189313E-2"/>
          <c:y val="0.27342371442570867"/>
          <c:w val="0.16528461027021024"/>
          <c:h val="0.303157034615956"/>
        </c:manualLayout>
      </c:layout>
      <c:overlay val="0"/>
      <c:spPr>
        <a:solidFill>
          <a:sysClr val="window" lastClr="FFFFFF"/>
        </a:solidFill>
        <a:ln>
          <a:noFill/>
        </a:ln>
        <a:effectLst/>
      </c:spPr>
      <c:txPr>
        <a:bodyPr rot="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6085269587048309E-2"/>
          <c:y val="9.6006845793760329E-2"/>
          <c:w val="0.92853215611846474"/>
          <c:h val="0.79776855962134652"/>
        </c:manualLayout>
      </c:layout>
      <c:barChart>
        <c:barDir val="col"/>
        <c:grouping val="stacked"/>
        <c:varyColors val="0"/>
        <c:ser>
          <c:idx val="2"/>
          <c:order val="0"/>
          <c:tx>
            <c:strRef>
              <c:f>'Fig 5.2 Orders by Category'!$C$6</c:f>
              <c:strCache>
                <c:ptCount val="1"/>
                <c:pt idx="0">
                  <c:v>Air</c:v>
                </c:pt>
              </c:strCache>
            </c:strRef>
          </c:tx>
          <c:spPr>
            <a:pattFill prst="pct90">
              <a:fgClr>
                <a:schemeClr val="accent4"/>
              </a:fgClr>
              <a:bgClr>
                <a:schemeClr val="bg1"/>
              </a:bgClr>
            </a:pattFill>
            <a:ln>
              <a:solidFill>
                <a:schemeClr val="tx1"/>
              </a:solidFill>
            </a:ln>
            <a:effectLst/>
          </c:spPr>
          <c:invertIfNegative val="0"/>
          <c:cat>
            <c:numRef>
              <c:f>'Fig 5.2 Orders by Category'!$B$7:$B$61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5.2 Orders by Category'!$C$7:$C$61</c:f>
              <c:numCache>
                <c:formatCode>_(* #,##0.00_);_(* \(#,##0.00\);_(* "-"??_);_(@_)</c:formatCode>
                <c:ptCount val="55"/>
                <c:pt idx="0">
                  <c:v>0</c:v>
                </c:pt>
                <c:pt idx="1">
                  <c:v>0</c:v>
                </c:pt>
                <c:pt idx="2">
                  <c:v>0</c:v>
                </c:pt>
                <c:pt idx="3">
                  <c:v>0</c:v>
                </c:pt>
                <c:pt idx="4">
                  <c:v>0</c:v>
                </c:pt>
                <c:pt idx="5">
                  <c:v>2.8</c:v>
                </c:pt>
                <c:pt idx="6">
                  <c:v>0</c:v>
                </c:pt>
                <c:pt idx="7">
                  <c:v>0</c:v>
                </c:pt>
                <c:pt idx="8">
                  <c:v>0.21299999999999999</c:v>
                </c:pt>
                <c:pt idx="9">
                  <c:v>0</c:v>
                </c:pt>
                <c:pt idx="10">
                  <c:v>5.5</c:v>
                </c:pt>
                <c:pt idx="11">
                  <c:v>0</c:v>
                </c:pt>
                <c:pt idx="12">
                  <c:v>0</c:v>
                </c:pt>
                <c:pt idx="13">
                  <c:v>0</c:v>
                </c:pt>
                <c:pt idx="14">
                  <c:v>0</c:v>
                </c:pt>
                <c:pt idx="15">
                  <c:v>0.105</c:v>
                </c:pt>
                <c:pt idx="16">
                  <c:v>0</c:v>
                </c:pt>
                <c:pt idx="17">
                  <c:v>6.2130000000000001</c:v>
                </c:pt>
                <c:pt idx="18">
                  <c:v>0</c:v>
                </c:pt>
                <c:pt idx="19">
                  <c:v>0</c:v>
                </c:pt>
                <c:pt idx="20">
                  <c:v>0</c:v>
                </c:pt>
                <c:pt idx="21">
                  <c:v>0</c:v>
                </c:pt>
                <c:pt idx="22">
                  <c:v>0</c:v>
                </c:pt>
                <c:pt idx="23">
                  <c:v>0</c:v>
                </c:pt>
                <c:pt idx="24">
                  <c:v>0</c:v>
                </c:pt>
                <c:pt idx="25">
                  <c:v>0</c:v>
                </c:pt>
                <c:pt idx="26">
                  <c:v>0</c:v>
                </c:pt>
                <c:pt idx="27">
                  <c:v>0</c:v>
                </c:pt>
                <c:pt idx="28">
                  <c:v>0</c:v>
                </c:pt>
                <c:pt idx="29">
                  <c:v>0</c:v>
                </c:pt>
                <c:pt idx="30">
                  <c:v>0.24199999999999999</c:v>
                </c:pt>
                <c:pt idx="31">
                  <c:v>0</c:v>
                </c:pt>
                <c:pt idx="32">
                  <c:v>0</c:v>
                </c:pt>
                <c:pt idx="33">
                  <c:v>0</c:v>
                </c:pt>
                <c:pt idx="34">
                  <c:v>0</c:v>
                </c:pt>
                <c:pt idx="35">
                  <c:v>8.3000000000000007</c:v>
                </c:pt>
                <c:pt idx="36">
                  <c:v>0</c:v>
                </c:pt>
                <c:pt idx="37">
                  <c:v>0</c:v>
                </c:pt>
                <c:pt idx="38">
                  <c:v>0</c:v>
                </c:pt>
                <c:pt idx="39">
                  <c:v>0</c:v>
                </c:pt>
                <c:pt idx="40">
                  <c:v>0</c:v>
                </c:pt>
                <c:pt idx="41">
                  <c:v>0</c:v>
                </c:pt>
                <c:pt idx="42">
                  <c:v>0</c:v>
                </c:pt>
                <c:pt idx="43">
                  <c:v>0</c:v>
                </c:pt>
                <c:pt idx="44">
                  <c:v>0.19769999999999999</c:v>
                </c:pt>
                <c:pt idx="45">
                  <c:v>0</c:v>
                </c:pt>
                <c:pt idx="46">
                  <c:v>4.9299999999999997E-2</c:v>
                </c:pt>
                <c:pt idx="47">
                  <c:v>0.1429</c:v>
                </c:pt>
                <c:pt idx="48">
                  <c:v>0</c:v>
                </c:pt>
                <c:pt idx="49">
                  <c:v>0</c:v>
                </c:pt>
                <c:pt idx="50">
                  <c:v>0.10199999999999999</c:v>
                </c:pt>
                <c:pt idx="51">
                  <c:v>0.14000000000000001</c:v>
                </c:pt>
                <c:pt idx="52">
                  <c:v>0.17799999999999999</c:v>
                </c:pt>
                <c:pt idx="53">
                  <c:v>0.442</c:v>
                </c:pt>
                <c:pt idx="54">
                  <c:v>0</c:v>
                </c:pt>
              </c:numCache>
            </c:numRef>
          </c:val>
          <c:extLst>
            <c:ext xmlns:c16="http://schemas.microsoft.com/office/drawing/2014/chart" uri="{C3380CC4-5D6E-409C-BE32-E72D297353CC}">
              <c16:uniqueId val="{00000001-EAE2-4CD4-BF4F-C896A1697546}"/>
            </c:ext>
          </c:extLst>
        </c:ser>
        <c:ser>
          <c:idx val="4"/>
          <c:order val="1"/>
          <c:tx>
            <c:strRef>
              <c:f>'Fig 5.2 Orders by Category'!$D$6</c:f>
              <c:strCache>
                <c:ptCount val="1"/>
                <c:pt idx="0">
                  <c:v>Sea</c:v>
                </c:pt>
              </c:strCache>
            </c:strRef>
          </c:tx>
          <c:spPr>
            <a:pattFill prst="trellis">
              <a:fgClr>
                <a:schemeClr val="accent6"/>
              </a:fgClr>
              <a:bgClr>
                <a:schemeClr val="bg1"/>
              </a:bgClr>
            </a:pattFill>
            <a:ln>
              <a:solidFill>
                <a:schemeClr val="tx1"/>
              </a:solidFill>
            </a:ln>
            <a:effectLst/>
          </c:spPr>
          <c:invertIfNegative val="0"/>
          <c:cat>
            <c:numRef>
              <c:f>'Fig 5.2 Orders by Category'!$B$7:$B$61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5.2 Orders by Category'!$D$7:$D$61</c:f>
              <c:numCache>
                <c:formatCode>_(* #,##0.00_);_(* \(#,##0.00\);_(* "-"??_);_(@_)</c:formatCode>
                <c:ptCount val="55"/>
                <c:pt idx="0">
                  <c:v>0</c:v>
                </c:pt>
                <c:pt idx="1">
                  <c:v>0</c:v>
                </c:pt>
                <c:pt idx="2">
                  <c:v>0</c:v>
                </c:pt>
                <c:pt idx="3">
                  <c:v>0</c:v>
                </c:pt>
                <c:pt idx="4">
                  <c:v>0</c:v>
                </c:pt>
                <c:pt idx="5">
                  <c:v>5.6</c:v>
                </c:pt>
                <c:pt idx="6">
                  <c:v>0</c:v>
                </c:pt>
                <c:pt idx="7">
                  <c:v>0</c:v>
                </c:pt>
                <c:pt idx="8">
                  <c:v>0.29099999999999998</c:v>
                </c:pt>
                <c:pt idx="9">
                  <c:v>0</c:v>
                </c:pt>
                <c:pt idx="10">
                  <c:v>2.7309999999999999</c:v>
                </c:pt>
                <c:pt idx="11">
                  <c:v>0</c:v>
                </c:pt>
                <c:pt idx="12">
                  <c:v>0</c:v>
                </c:pt>
                <c:pt idx="13">
                  <c:v>0</c:v>
                </c:pt>
                <c:pt idx="14">
                  <c:v>0</c:v>
                </c:pt>
                <c:pt idx="15">
                  <c:v>7.8E-2</c:v>
                </c:pt>
                <c:pt idx="16">
                  <c:v>0</c:v>
                </c:pt>
                <c:pt idx="17">
                  <c:v>7.4718780000000002</c:v>
                </c:pt>
                <c:pt idx="18">
                  <c:v>0</c:v>
                </c:pt>
                <c:pt idx="19">
                  <c:v>0</c:v>
                </c:pt>
                <c:pt idx="20">
                  <c:v>0</c:v>
                </c:pt>
                <c:pt idx="21">
                  <c:v>0</c:v>
                </c:pt>
                <c:pt idx="22">
                  <c:v>0</c:v>
                </c:pt>
                <c:pt idx="23">
                  <c:v>0</c:v>
                </c:pt>
                <c:pt idx="24">
                  <c:v>0</c:v>
                </c:pt>
                <c:pt idx="25">
                  <c:v>0</c:v>
                </c:pt>
                <c:pt idx="26">
                  <c:v>0</c:v>
                </c:pt>
                <c:pt idx="27">
                  <c:v>0</c:v>
                </c:pt>
                <c:pt idx="28">
                  <c:v>0</c:v>
                </c:pt>
                <c:pt idx="29">
                  <c:v>3.5000000000000003E-2</c:v>
                </c:pt>
                <c:pt idx="30">
                  <c:v>0.34179999999999999</c:v>
                </c:pt>
                <c:pt idx="31">
                  <c:v>0</c:v>
                </c:pt>
                <c:pt idx="32">
                  <c:v>0.63700000000000001</c:v>
                </c:pt>
                <c:pt idx="33">
                  <c:v>0</c:v>
                </c:pt>
                <c:pt idx="34">
                  <c:v>0</c:v>
                </c:pt>
                <c:pt idx="35">
                  <c:v>0</c:v>
                </c:pt>
                <c:pt idx="36">
                  <c:v>0</c:v>
                </c:pt>
                <c:pt idx="37">
                  <c:v>0</c:v>
                </c:pt>
                <c:pt idx="38">
                  <c:v>4.2000000000000003E-2</c:v>
                </c:pt>
                <c:pt idx="39">
                  <c:v>0.26900000000000002</c:v>
                </c:pt>
                <c:pt idx="40">
                  <c:v>0.18</c:v>
                </c:pt>
                <c:pt idx="41">
                  <c:v>0</c:v>
                </c:pt>
                <c:pt idx="42">
                  <c:v>1.1599999999999999</c:v>
                </c:pt>
                <c:pt idx="43">
                  <c:v>0</c:v>
                </c:pt>
                <c:pt idx="44">
                  <c:v>0</c:v>
                </c:pt>
                <c:pt idx="45">
                  <c:v>0</c:v>
                </c:pt>
                <c:pt idx="46">
                  <c:v>1.1000000000000001</c:v>
                </c:pt>
                <c:pt idx="47">
                  <c:v>9.98E-2</c:v>
                </c:pt>
                <c:pt idx="48">
                  <c:v>0</c:v>
                </c:pt>
                <c:pt idx="49">
                  <c:v>0</c:v>
                </c:pt>
                <c:pt idx="50">
                  <c:v>0</c:v>
                </c:pt>
                <c:pt idx="51">
                  <c:v>0</c:v>
                </c:pt>
                <c:pt idx="52">
                  <c:v>1.2</c:v>
                </c:pt>
                <c:pt idx="53">
                  <c:v>4.0519999999999996</c:v>
                </c:pt>
                <c:pt idx="54">
                  <c:v>0</c:v>
                </c:pt>
              </c:numCache>
            </c:numRef>
          </c:val>
          <c:extLst>
            <c:ext xmlns:c16="http://schemas.microsoft.com/office/drawing/2014/chart" uri="{C3380CC4-5D6E-409C-BE32-E72D297353CC}">
              <c16:uniqueId val="{00000004-EAE2-4CD4-BF4F-C896A1697546}"/>
            </c:ext>
          </c:extLst>
        </c:ser>
        <c:ser>
          <c:idx val="3"/>
          <c:order val="2"/>
          <c:tx>
            <c:strRef>
              <c:f>'Fig 5.2 Orders by Category'!$E$6</c:f>
              <c:strCache>
                <c:ptCount val="1"/>
                <c:pt idx="0">
                  <c:v>Land</c:v>
                </c:pt>
              </c:strCache>
            </c:strRef>
          </c:tx>
          <c:spPr>
            <a:pattFill prst="pct60">
              <a:fgClr>
                <a:schemeClr val="accent2">
                  <a:lumMod val="50000"/>
                </a:schemeClr>
              </a:fgClr>
              <a:bgClr>
                <a:schemeClr val="bg1"/>
              </a:bgClr>
            </a:pattFill>
            <a:ln>
              <a:solidFill>
                <a:schemeClr val="tx1"/>
              </a:solidFill>
            </a:ln>
            <a:effectLst/>
          </c:spPr>
          <c:invertIfNegative val="0"/>
          <c:cat>
            <c:numRef>
              <c:f>'Fig 5.2 Orders by Category'!$B$7:$B$61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5.2 Orders by Category'!$E$7:$E$61</c:f>
              <c:numCache>
                <c:formatCode>_(* #,##0.00_);_(* \(#,##0.00\);_(* "-"??_);_(@_)</c:formatCode>
                <c:ptCount val="55"/>
                <c:pt idx="0">
                  <c:v>0</c:v>
                </c:pt>
                <c:pt idx="1">
                  <c:v>0</c:v>
                </c:pt>
                <c:pt idx="2">
                  <c:v>0</c:v>
                </c:pt>
                <c:pt idx="3">
                  <c:v>0</c:v>
                </c:pt>
                <c:pt idx="4">
                  <c:v>0.03</c:v>
                </c:pt>
                <c:pt idx="5">
                  <c:v>0</c:v>
                </c:pt>
                <c:pt idx="6">
                  <c:v>0</c:v>
                </c:pt>
                <c:pt idx="7">
                  <c:v>0</c:v>
                </c:pt>
                <c:pt idx="8">
                  <c:v>0</c:v>
                </c:pt>
                <c:pt idx="9">
                  <c:v>0</c:v>
                </c:pt>
                <c:pt idx="10">
                  <c:v>0.20599999999999999</c:v>
                </c:pt>
                <c:pt idx="11">
                  <c:v>0</c:v>
                </c:pt>
                <c:pt idx="12">
                  <c:v>0</c:v>
                </c:pt>
                <c:pt idx="13">
                  <c:v>8.7999999999999995E-2</c:v>
                </c:pt>
                <c:pt idx="14">
                  <c:v>0</c:v>
                </c:pt>
                <c:pt idx="15">
                  <c:v>3.4580000000000002</c:v>
                </c:pt>
                <c:pt idx="16">
                  <c:v>0</c:v>
                </c:pt>
                <c:pt idx="17">
                  <c:v>1.32</c:v>
                </c:pt>
                <c:pt idx="18">
                  <c:v>0</c:v>
                </c:pt>
                <c:pt idx="19">
                  <c:v>0</c:v>
                </c:pt>
                <c:pt idx="20">
                  <c:v>0</c:v>
                </c:pt>
                <c:pt idx="21">
                  <c:v>0</c:v>
                </c:pt>
                <c:pt idx="22">
                  <c:v>0</c:v>
                </c:pt>
                <c:pt idx="23">
                  <c:v>0</c:v>
                </c:pt>
                <c:pt idx="24">
                  <c:v>0</c:v>
                </c:pt>
                <c:pt idx="25">
                  <c:v>0</c:v>
                </c:pt>
                <c:pt idx="26">
                  <c:v>0</c:v>
                </c:pt>
                <c:pt idx="27">
                  <c:v>0.15</c:v>
                </c:pt>
                <c:pt idx="28">
                  <c:v>0</c:v>
                </c:pt>
                <c:pt idx="29">
                  <c:v>0</c:v>
                </c:pt>
                <c:pt idx="30">
                  <c:v>4.2099999999999999E-2</c:v>
                </c:pt>
                <c:pt idx="31">
                  <c:v>0</c:v>
                </c:pt>
                <c:pt idx="32">
                  <c:v>0</c:v>
                </c:pt>
                <c:pt idx="33">
                  <c:v>9.74E-2</c:v>
                </c:pt>
                <c:pt idx="34">
                  <c:v>0</c:v>
                </c:pt>
                <c:pt idx="35">
                  <c:v>1.464</c:v>
                </c:pt>
                <c:pt idx="36">
                  <c:v>0</c:v>
                </c:pt>
                <c:pt idx="37">
                  <c:v>0.16800000000000001</c:v>
                </c:pt>
                <c:pt idx="38">
                  <c:v>1.2991999999999999</c:v>
                </c:pt>
                <c:pt idx="39">
                  <c:v>0</c:v>
                </c:pt>
                <c:pt idx="40">
                  <c:v>1.8033000000000001</c:v>
                </c:pt>
                <c:pt idx="41">
                  <c:v>0.95</c:v>
                </c:pt>
                <c:pt idx="42">
                  <c:v>8.5849000000000011</c:v>
                </c:pt>
                <c:pt idx="43">
                  <c:v>0</c:v>
                </c:pt>
                <c:pt idx="44">
                  <c:v>0.23860000000000001</c:v>
                </c:pt>
                <c:pt idx="45">
                  <c:v>4.1609999999999996</c:v>
                </c:pt>
                <c:pt idx="46">
                  <c:v>0.40100000000000002</c:v>
                </c:pt>
                <c:pt idx="47">
                  <c:v>5.9740000000000002</c:v>
                </c:pt>
                <c:pt idx="48">
                  <c:v>1.23</c:v>
                </c:pt>
                <c:pt idx="49">
                  <c:v>0.64900000000000002</c:v>
                </c:pt>
                <c:pt idx="50">
                  <c:v>3.34</c:v>
                </c:pt>
                <c:pt idx="51">
                  <c:v>0.44700000000000001</c:v>
                </c:pt>
                <c:pt idx="52">
                  <c:v>0</c:v>
                </c:pt>
                <c:pt idx="53">
                  <c:v>1.466</c:v>
                </c:pt>
                <c:pt idx="54">
                  <c:v>6.2519999999999998</c:v>
                </c:pt>
              </c:numCache>
            </c:numRef>
          </c:val>
          <c:extLst>
            <c:ext xmlns:c16="http://schemas.microsoft.com/office/drawing/2014/chart" uri="{C3380CC4-5D6E-409C-BE32-E72D297353CC}">
              <c16:uniqueId val="{00000003-EAE2-4CD4-BF4F-C896A1697546}"/>
            </c:ext>
          </c:extLst>
        </c:ser>
        <c:ser>
          <c:idx val="0"/>
          <c:order val="3"/>
          <c:tx>
            <c:strRef>
              <c:f>'Fig 5.2 Orders by Category'!$F$6</c:f>
              <c:strCache>
                <c:ptCount val="1"/>
                <c:pt idx="0">
                  <c:v>Other</c:v>
                </c:pt>
              </c:strCache>
            </c:strRef>
          </c:tx>
          <c:spPr>
            <a:solidFill>
              <a:schemeClr val="accent5">
                <a:alpha val="93000"/>
              </a:schemeClr>
            </a:solidFill>
            <a:ln>
              <a:solidFill>
                <a:schemeClr val="tx1"/>
              </a:solidFill>
            </a:ln>
            <a:effectLst/>
          </c:spPr>
          <c:invertIfNegative val="0"/>
          <c:cat>
            <c:numRef>
              <c:f>'Fig 5.2 Orders by Category'!$B$7:$B$61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5.2 Orders by Category'!$F$7:$F$61</c:f>
              <c:numCache>
                <c:formatCode>_(* #,##0.00_);_(* \(#,##0.00\);_(* "-"??_);_(@_)</c:formatCode>
                <c:ptCount val="55"/>
                <c:pt idx="0">
                  <c:v>0</c:v>
                </c:pt>
                <c:pt idx="1">
                  <c:v>0</c:v>
                </c:pt>
                <c:pt idx="2">
                  <c:v>0</c:v>
                </c:pt>
                <c:pt idx="3">
                  <c:v>0</c:v>
                </c:pt>
                <c:pt idx="4">
                  <c:v>0</c:v>
                </c:pt>
                <c:pt idx="5">
                  <c:v>4.5999999999999996</c:v>
                </c:pt>
                <c:pt idx="6">
                  <c:v>0</c:v>
                </c:pt>
                <c:pt idx="7">
                  <c:v>0.35</c:v>
                </c:pt>
                <c:pt idx="8">
                  <c:v>1.88</c:v>
                </c:pt>
                <c:pt idx="9">
                  <c:v>0.04</c:v>
                </c:pt>
                <c:pt idx="10">
                  <c:v>0.749</c:v>
                </c:pt>
                <c:pt idx="11">
                  <c:v>0.45</c:v>
                </c:pt>
                <c:pt idx="12">
                  <c:v>0</c:v>
                </c:pt>
                <c:pt idx="13">
                  <c:v>0</c:v>
                </c:pt>
                <c:pt idx="14">
                  <c:v>0</c:v>
                </c:pt>
                <c:pt idx="15">
                  <c:v>5.8999999999999997E-2</c:v>
                </c:pt>
                <c:pt idx="16">
                  <c:v>2.4019999999999997</c:v>
                </c:pt>
                <c:pt idx="17">
                  <c:v>1.1419999999999999</c:v>
                </c:pt>
                <c:pt idx="18">
                  <c:v>0</c:v>
                </c:pt>
                <c:pt idx="19">
                  <c:v>0</c:v>
                </c:pt>
                <c:pt idx="20">
                  <c:v>0</c:v>
                </c:pt>
                <c:pt idx="21">
                  <c:v>0</c:v>
                </c:pt>
                <c:pt idx="22">
                  <c:v>0</c:v>
                </c:pt>
                <c:pt idx="23">
                  <c:v>0</c:v>
                </c:pt>
                <c:pt idx="24">
                  <c:v>0</c:v>
                </c:pt>
                <c:pt idx="25">
                  <c:v>0</c:v>
                </c:pt>
                <c:pt idx="26">
                  <c:v>0</c:v>
                </c:pt>
                <c:pt idx="27">
                  <c:v>0</c:v>
                </c:pt>
                <c:pt idx="28">
                  <c:v>2.5139</c:v>
                </c:pt>
                <c:pt idx="29">
                  <c:v>0.10100000000000001</c:v>
                </c:pt>
                <c:pt idx="30">
                  <c:v>6.89</c:v>
                </c:pt>
                <c:pt idx="31">
                  <c:v>0</c:v>
                </c:pt>
                <c:pt idx="32">
                  <c:v>0</c:v>
                </c:pt>
                <c:pt idx="33">
                  <c:v>7.4999999999999997E-3</c:v>
                </c:pt>
                <c:pt idx="34">
                  <c:v>0.15545</c:v>
                </c:pt>
                <c:pt idx="35">
                  <c:v>0.12</c:v>
                </c:pt>
                <c:pt idx="36">
                  <c:v>0</c:v>
                </c:pt>
                <c:pt idx="37">
                  <c:v>5.28E-2</c:v>
                </c:pt>
                <c:pt idx="38">
                  <c:v>3.32E-2</c:v>
                </c:pt>
                <c:pt idx="39">
                  <c:v>0.498</c:v>
                </c:pt>
                <c:pt idx="40">
                  <c:v>3.2000000000000001E-2</c:v>
                </c:pt>
                <c:pt idx="41">
                  <c:v>0.9032</c:v>
                </c:pt>
                <c:pt idx="42">
                  <c:v>0</c:v>
                </c:pt>
                <c:pt idx="43">
                  <c:v>0</c:v>
                </c:pt>
                <c:pt idx="44">
                  <c:v>0</c:v>
                </c:pt>
                <c:pt idx="45">
                  <c:v>0.2515</c:v>
                </c:pt>
                <c:pt idx="46">
                  <c:v>13.4</c:v>
                </c:pt>
                <c:pt idx="47">
                  <c:v>3.4779999999999998E-2</c:v>
                </c:pt>
                <c:pt idx="48">
                  <c:v>0</c:v>
                </c:pt>
                <c:pt idx="49">
                  <c:v>2.2000000000000002</c:v>
                </c:pt>
                <c:pt idx="50">
                  <c:v>0.9899</c:v>
                </c:pt>
                <c:pt idx="51">
                  <c:v>0</c:v>
                </c:pt>
                <c:pt idx="52">
                  <c:v>0.47095999999999999</c:v>
                </c:pt>
                <c:pt idx="53">
                  <c:v>3.5170000000000003</c:v>
                </c:pt>
                <c:pt idx="54">
                  <c:v>6.7000000000000004E-2</c:v>
                </c:pt>
              </c:numCache>
            </c:numRef>
          </c:val>
          <c:extLst>
            <c:ext xmlns:c16="http://schemas.microsoft.com/office/drawing/2014/chart" uri="{C3380CC4-5D6E-409C-BE32-E72D297353CC}">
              <c16:uniqueId val="{00000002-EAE2-4CD4-BF4F-C896A1697546}"/>
            </c:ext>
          </c:extLst>
        </c:ser>
        <c:dLbls>
          <c:showLegendKey val="0"/>
          <c:showVal val="0"/>
          <c:showCatName val="0"/>
          <c:showSerName val="0"/>
          <c:showPercent val="0"/>
          <c:showBubbleSize val="0"/>
        </c:dLbls>
        <c:gapWidth val="50"/>
        <c:overlap val="100"/>
        <c:axId val="112003664"/>
        <c:axId val="112001744"/>
      </c:barChart>
      <c:dateAx>
        <c:axId val="112003664"/>
        <c:scaling>
          <c:orientation val="minMax"/>
        </c:scaling>
        <c:delete val="0"/>
        <c:axPos val="b"/>
        <c:numFmt formatCode="mmm\-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1744"/>
        <c:crosses val="autoZero"/>
        <c:auto val="1"/>
        <c:lblOffset val="100"/>
        <c:baseTimeUnit val="months"/>
      </c:dateAx>
      <c:valAx>
        <c:axId val="112001744"/>
        <c:scaling>
          <c:orientation val="minMax"/>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3664"/>
        <c:crosses val="autoZero"/>
        <c:crossBetween val="between"/>
      </c:valAx>
      <c:spPr>
        <a:noFill/>
        <a:ln>
          <a:noFill/>
        </a:ln>
        <a:effectLst/>
      </c:spPr>
    </c:plotArea>
    <c:legend>
      <c:legendPos val="r"/>
      <c:layout>
        <c:manualLayout>
          <c:xMode val="edge"/>
          <c:yMode val="edge"/>
          <c:x val="5.6640816873316166E-2"/>
          <c:y val="0.24538273597802654"/>
          <c:w val="8.3351856537781543E-2"/>
          <c:h val="0.32957683030979895"/>
        </c:manualLayout>
      </c:layout>
      <c:overlay val="0"/>
      <c:spPr>
        <a:solidFill>
          <a:sysClr val="window" lastClr="FFFFFF"/>
        </a:solid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0286054046798872E-2"/>
          <c:y val="9.6006817453829219E-2"/>
          <c:w val="0.92853215611846474"/>
          <c:h val="0.79997425262389166"/>
        </c:manualLayout>
      </c:layout>
      <c:barChart>
        <c:barDir val="col"/>
        <c:grouping val="stacked"/>
        <c:varyColors val="0"/>
        <c:ser>
          <c:idx val="1"/>
          <c:order val="0"/>
          <c:tx>
            <c:strRef>
              <c:f>'Fig A5.9 Missile (units)'!$C$6</c:f>
              <c:strCache>
                <c:ptCount val="1"/>
                <c:pt idx="0">
                  <c:v>Einzelplan 14</c:v>
                </c:pt>
              </c:strCache>
            </c:strRef>
          </c:tx>
          <c:spPr>
            <a:solidFill>
              <a:schemeClr val="accent1"/>
            </a:solidFill>
            <a:ln>
              <a:solidFill>
                <a:schemeClr val="tx1"/>
              </a:solidFill>
            </a:ln>
            <a:effectLst/>
          </c:spPr>
          <c:invertIfNegative val="0"/>
          <c:cat>
            <c:numRef>
              <c:f>'Fig A5.9 Missile (units)'!$B$7:$B$61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A5.9 Missile (units)'!$C$7:$C$61</c:f>
              <c:numCache>
                <c:formatCode>_(* #,##0_);_(* \(#,##0\);_(* "-"??_);_(@_)</c:formatCode>
                <c:ptCount val="55"/>
                <c:pt idx="0">
                  <c:v>0</c:v>
                </c:pt>
                <c:pt idx="1">
                  <c:v>0</c:v>
                </c:pt>
                <c:pt idx="2">
                  <c:v>0</c:v>
                </c:pt>
                <c:pt idx="3">
                  <c:v>0</c:v>
                </c:pt>
                <c:pt idx="4">
                  <c:v>0</c:v>
                </c:pt>
                <c:pt idx="5">
                  <c:v>0</c:v>
                </c:pt>
                <c:pt idx="6">
                  <c:v>0</c:v>
                </c:pt>
                <c:pt idx="7">
                  <c:v>0</c:v>
                </c:pt>
                <c:pt idx="8">
                  <c:v>75</c:v>
                </c:pt>
                <c:pt idx="9">
                  <c:v>0</c:v>
                </c:pt>
                <c:pt idx="10">
                  <c:v>0</c:v>
                </c:pt>
                <c:pt idx="11">
                  <c:v>0</c:v>
                </c:pt>
                <c:pt idx="12">
                  <c:v>0</c:v>
                </c:pt>
                <c:pt idx="13">
                  <c:v>748</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600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0-1E40-47C0-B686-4E8B2A6EDC50}"/>
            </c:ext>
          </c:extLst>
        </c:ser>
        <c:ser>
          <c:idx val="0"/>
          <c:order val="1"/>
          <c:tx>
            <c:strRef>
              <c:f>'Fig A5.9 Missile (units)'!$D$6</c:f>
              <c:strCache>
                <c:ptCount val="1"/>
                <c:pt idx="0">
                  <c:v>Sondervermögen</c:v>
                </c:pt>
              </c:strCache>
            </c:strRef>
          </c:tx>
          <c:spPr>
            <a:pattFill prst="pct60">
              <a:fgClr>
                <a:schemeClr val="accent5"/>
              </a:fgClr>
              <a:bgClr>
                <a:schemeClr val="bg1"/>
              </a:bgClr>
            </a:pattFill>
            <a:ln>
              <a:solidFill>
                <a:schemeClr val="tx1"/>
              </a:solidFill>
            </a:ln>
            <a:effectLst/>
          </c:spPr>
          <c:invertIfNegative val="0"/>
          <c:cat>
            <c:numRef>
              <c:f>'Fig A5.9 Missile (units)'!$B$7:$B$61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A5.9 Missile (units)'!$D$7:$D$61</c:f>
              <c:numCache>
                <c:formatCode>_(* #,##0_);_(* \(#,##0\);_(* "-"??_);_(@_)</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400</c:v>
                </c:pt>
                <c:pt idx="48">
                  <c:v>0</c:v>
                </c:pt>
                <c:pt idx="49">
                  <c:v>0</c:v>
                </c:pt>
                <c:pt idx="50">
                  <c:v>0</c:v>
                </c:pt>
                <c:pt idx="51">
                  <c:v>0</c:v>
                </c:pt>
                <c:pt idx="52">
                  <c:v>0</c:v>
                </c:pt>
                <c:pt idx="53">
                  <c:v>274</c:v>
                </c:pt>
                <c:pt idx="54">
                  <c:v>0</c:v>
                </c:pt>
              </c:numCache>
            </c:numRef>
          </c:val>
          <c:extLst>
            <c:ext xmlns:c16="http://schemas.microsoft.com/office/drawing/2014/chart" uri="{C3380CC4-5D6E-409C-BE32-E72D297353CC}">
              <c16:uniqueId val="{00000001-1E40-47C0-B686-4E8B2A6EDC50}"/>
            </c:ext>
          </c:extLst>
        </c:ser>
        <c:ser>
          <c:idx val="2"/>
          <c:order val="2"/>
          <c:tx>
            <c:strRef>
              <c:f>'Fig A5.9 Missile (units)'!$E$6</c:f>
              <c:strCache>
                <c:ptCount val="1"/>
                <c:pt idx="0">
                  <c:v>Einzelplan 60</c:v>
                </c:pt>
              </c:strCache>
            </c:strRef>
          </c:tx>
          <c:spPr>
            <a:pattFill prst="dkDnDiag">
              <a:fgClr>
                <a:schemeClr val="accent6"/>
              </a:fgClr>
              <a:bgClr>
                <a:schemeClr val="bg1"/>
              </a:bgClr>
            </a:pattFill>
            <a:ln>
              <a:solidFill>
                <a:schemeClr val="tx1"/>
              </a:solidFill>
            </a:ln>
            <a:effectLst/>
          </c:spPr>
          <c:invertIfNegative val="0"/>
          <c:cat>
            <c:numRef>
              <c:f>'Fig A5.9 Missile (units)'!$B$7:$B$61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A5.9 Missile (units)'!$E$7:$E$61</c:f>
              <c:numCache>
                <c:formatCode>_(* #,##0_);_(* \(#,##0\);_(* "-"??_);_(@_)</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220</c:v>
                </c:pt>
                <c:pt idx="48">
                  <c:v>0</c:v>
                </c:pt>
                <c:pt idx="49">
                  <c:v>0</c:v>
                </c:pt>
                <c:pt idx="50">
                  <c:v>0</c:v>
                </c:pt>
                <c:pt idx="51">
                  <c:v>0</c:v>
                </c:pt>
                <c:pt idx="52">
                  <c:v>0</c:v>
                </c:pt>
                <c:pt idx="53">
                  <c:v>506</c:v>
                </c:pt>
                <c:pt idx="54">
                  <c:v>100</c:v>
                </c:pt>
              </c:numCache>
            </c:numRef>
          </c:val>
          <c:extLst>
            <c:ext xmlns:c16="http://schemas.microsoft.com/office/drawing/2014/chart" uri="{C3380CC4-5D6E-409C-BE32-E72D297353CC}">
              <c16:uniqueId val="{00000000-2E1A-4BE9-B518-3C6C008CAAEF}"/>
            </c:ext>
          </c:extLst>
        </c:ser>
        <c:dLbls>
          <c:showLegendKey val="0"/>
          <c:showVal val="0"/>
          <c:showCatName val="0"/>
          <c:showSerName val="0"/>
          <c:showPercent val="0"/>
          <c:showBubbleSize val="0"/>
        </c:dLbls>
        <c:gapWidth val="50"/>
        <c:overlap val="100"/>
        <c:axId val="112003664"/>
        <c:axId val="112001744"/>
      </c:barChart>
      <c:dateAx>
        <c:axId val="112003664"/>
        <c:scaling>
          <c:orientation val="minMax"/>
        </c:scaling>
        <c:delete val="0"/>
        <c:axPos val="b"/>
        <c:numFmt formatCode="mmm\-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1744"/>
        <c:crosses val="autoZero"/>
        <c:auto val="1"/>
        <c:lblOffset val="100"/>
        <c:baseTimeUnit val="months"/>
      </c:dateAx>
      <c:valAx>
        <c:axId val="112001744"/>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3664"/>
        <c:crosses val="autoZero"/>
        <c:crossBetween val="between"/>
      </c:valAx>
      <c:spPr>
        <a:noFill/>
        <a:ln>
          <a:noFill/>
        </a:ln>
        <a:effectLst/>
      </c:spPr>
    </c:plotArea>
    <c:legend>
      <c:legendPos val="r"/>
      <c:layout>
        <c:manualLayout>
          <c:xMode val="edge"/>
          <c:yMode val="edge"/>
          <c:x val="4.0110504652827492E-2"/>
          <c:y val="0.33597829106082311"/>
          <c:w val="0.15250942827222355"/>
          <c:h val="0.31938262473433388"/>
        </c:manualLayout>
      </c:layout>
      <c:overlay val="0"/>
      <c:spPr>
        <a:solidFill>
          <a:sysClr val="window" lastClr="FFFFFF"/>
        </a:solidFill>
        <a:ln>
          <a:noFill/>
        </a:ln>
        <a:effectLst/>
      </c:spPr>
      <c:txPr>
        <a:bodyPr rot="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0286054046798872E-2"/>
          <c:y val="9.6006817453829219E-2"/>
          <c:w val="0.92853215611846474"/>
          <c:h val="0.80260108111486061"/>
        </c:manualLayout>
      </c:layout>
      <c:barChart>
        <c:barDir val="col"/>
        <c:grouping val="stacked"/>
        <c:varyColors val="0"/>
        <c:ser>
          <c:idx val="1"/>
          <c:order val="0"/>
          <c:tx>
            <c:strRef>
              <c:f>'Fig A5.10 Missile Category (€)'!$C$6</c:f>
              <c:strCache>
                <c:ptCount val="1"/>
                <c:pt idx="0">
                  <c:v>Missile (Land)</c:v>
                </c:pt>
              </c:strCache>
            </c:strRef>
          </c:tx>
          <c:spPr>
            <a:pattFill prst="pct60">
              <a:fgClr>
                <a:schemeClr val="accent2">
                  <a:lumMod val="50000"/>
                </a:schemeClr>
              </a:fgClr>
              <a:bgClr>
                <a:schemeClr val="bg1"/>
              </a:bgClr>
            </a:pattFill>
            <a:ln>
              <a:solidFill>
                <a:schemeClr val="tx1"/>
              </a:solidFill>
            </a:ln>
            <a:effectLst/>
          </c:spPr>
          <c:invertIfNegative val="0"/>
          <c:cat>
            <c:numRef>
              <c:f>'Fig A5.10 Missile Category (€)'!$B$7:$B$61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A5.10 Missile Category (€)'!$C$7:$C$61</c:f>
              <c:numCache>
                <c:formatCode>_(* #,##0.00_);_(* \(#,##0.00\);_(* "-"??_);_(@_)</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8.7999999999999995E-2</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0.15</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3.0019999999999998</c:v>
                </c:pt>
                <c:pt idx="48">
                  <c:v>0</c:v>
                </c:pt>
                <c:pt idx="49">
                  <c:v>0</c:v>
                </c:pt>
                <c:pt idx="50">
                  <c:v>0</c:v>
                </c:pt>
                <c:pt idx="51">
                  <c:v>0</c:v>
                </c:pt>
                <c:pt idx="52">
                  <c:v>0</c:v>
                </c:pt>
                <c:pt idx="53">
                  <c:v>0.39500000000000002</c:v>
                </c:pt>
                <c:pt idx="54">
                  <c:v>0.2</c:v>
                </c:pt>
              </c:numCache>
            </c:numRef>
          </c:val>
          <c:extLst>
            <c:ext xmlns:c16="http://schemas.microsoft.com/office/drawing/2014/chart" uri="{C3380CC4-5D6E-409C-BE32-E72D297353CC}">
              <c16:uniqueId val="{00000000-726A-462D-A72D-AE9E2528164D}"/>
            </c:ext>
          </c:extLst>
        </c:ser>
        <c:ser>
          <c:idx val="0"/>
          <c:order val="1"/>
          <c:tx>
            <c:strRef>
              <c:f>'Fig A5.10 Missile Category (€)'!$D$6</c:f>
              <c:strCache>
                <c:ptCount val="1"/>
                <c:pt idx="0">
                  <c:v>Missile (Air)</c:v>
                </c:pt>
              </c:strCache>
            </c:strRef>
          </c:tx>
          <c:spPr>
            <a:pattFill prst="pct90">
              <a:fgClr>
                <a:schemeClr val="accent4"/>
              </a:fgClr>
              <a:bgClr>
                <a:schemeClr val="bg1"/>
              </a:bgClr>
            </a:pattFill>
            <a:ln>
              <a:solidFill>
                <a:schemeClr val="tx1"/>
              </a:solidFill>
            </a:ln>
            <a:effectLst/>
          </c:spPr>
          <c:invertIfNegative val="0"/>
          <c:cat>
            <c:numRef>
              <c:f>'Fig A5.10 Missile Category (€)'!$B$7:$B$61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A5.10 Missile Category (€)'!$D$7:$D$61</c:f>
              <c:numCache>
                <c:formatCode>_(* #,##0.00_);_(* \(#,##0.00\);_(* "-"??_);_(@_)</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0.108</c:v>
                </c:pt>
                <c:pt idx="48">
                  <c:v>0</c:v>
                </c:pt>
                <c:pt idx="49">
                  <c:v>0</c:v>
                </c:pt>
                <c:pt idx="50">
                  <c:v>0</c:v>
                </c:pt>
                <c:pt idx="51">
                  <c:v>0</c:v>
                </c:pt>
                <c:pt idx="52">
                  <c:v>0.17799999999999999</c:v>
                </c:pt>
                <c:pt idx="53">
                  <c:v>0.376</c:v>
                </c:pt>
                <c:pt idx="54">
                  <c:v>0</c:v>
                </c:pt>
              </c:numCache>
            </c:numRef>
          </c:val>
          <c:extLst>
            <c:ext xmlns:c16="http://schemas.microsoft.com/office/drawing/2014/chart" uri="{C3380CC4-5D6E-409C-BE32-E72D297353CC}">
              <c16:uniqueId val="{00000001-726A-462D-A72D-AE9E2528164D}"/>
            </c:ext>
          </c:extLst>
        </c:ser>
        <c:ser>
          <c:idx val="2"/>
          <c:order val="2"/>
          <c:tx>
            <c:strRef>
              <c:f>'Fig A5.10 Missile Category (€)'!$E$6</c:f>
              <c:strCache>
                <c:ptCount val="1"/>
                <c:pt idx="0">
                  <c:v>Missle (Naval)</c:v>
                </c:pt>
              </c:strCache>
            </c:strRef>
          </c:tx>
          <c:spPr>
            <a:pattFill prst="trellis">
              <a:fgClr>
                <a:schemeClr val="accent6"/>
              </a:fgClr>
              <a:bgClr>
                <a:schemeClr val="bg1"/>
              </a:bgClr>
            </a:pattFill>
            <a:ln>
              <a:solidFill>
                <a:schemeClr val="tx1"/>
              </a:solidFill>
            </a:ln>
            <a:effectLst/>
          </c:spPr>
          <c:invertIfNegative val="0"/>
          <c:cat>
            <c:numRef>
              <c:f>'Fig A5.10 Missile Category (€)'!$B$7:$B$61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A5.10 Missile Category (€)'!$E$7:$E$61</c:f>
              <c:numCache>
                <c:formatCode>_(* #,##0.00_);_(* \(#,##0.00\);_(* "-"??_);_(@_)</c:formatCode>
                <c:ptCount val="55"/>
                <c:pt idx="0">
                  <c:v>0</c:v>
                </c:pt>
                <c:pt idx="1">
                  <c:v>0</c:v>
                </c:pt>
                <c:pt idx="2">
                  <c:v>0</c:v>
                </c:pt>
                <c:pt idx="3">
                  <c:v>0</c:v>
                </c:pt>
                <c:pt idx="4">
                  <c:v>0</c:v>
                </c:pt>
                <c:pt idx="5">
                  <c:v>0</c:v>
                </c:pt>
                <c:pt idx="6">
                  <c:v>0</c:v>
                </c:pt>
                <c:pt idx="7">
                  <c:v>0</c:v>
                </c:pt>
                <c:pt idx="8">
                  <c:v>0.29099999999999998</c:v>
                </c:pt>
                <c:pt idx="9">
                  <c:v>0</c:v>
                </c:pt>
                <c:pt idx="10">
                  <c:v>0</c:v>
                </c:pt>
                <c:pt idx="11">
                  <c:v>0</c:v>
                </c:pt>
                <c:pt idx="12">
                  <c:v>0</c:v>
                </c:pt>
                <c:pt idx="13">
                  <c:v>0</c:v>
                </c:pt>
                <c:pt idx="14">
                  <c:v>0</c:v>
                </c:pt>
                <c:pt idx="15">
                  <c:v>0</c:v>
                </c:pt>
                <c:pt idx="16">
                  <c:v>0</c:v>
                </c:pt>
                <c:pt idx="17">
                  <c:v>0.42499999999999999</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0.63700000000000001</c:v>
                </c:pt>
                <c:pt idx="33">
                  <c:v>0</c:v>
                </c:pt>
                <c:pt idx="34">
                  <c:v>0</c:v>
                </c:pt>
                <c:pt idx="35">
                  <c:v>0</c:v>
                </c:pt>
                <c:pt idx="36">
                  <c:v>0</c:v>
                </c:pt>
                <c:pt idx="37">
                  <c:v>0</c:v>
                </c:pt>
                <c:pt idx="38">
                  <c:v>0</c:v>
                </c:pt>
                <c:pt idx="39">
                  <c:v>0.26900000000000002</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2-726A-462D-A72D-AE9E2528164D}"/>
            </c:ext>
          </c:extLst>
        </c:ser>
        <c:dLbls>
          <c:showLegendKey val="0"/>
          <c:showVal val="0"/>
          <c:showCatName val="0"/>
          <c:showSerName val="0"/>
          <c:showPercent val="0"/>
          <c:showBubbleSize val="0"/>
        </c:dLbls>
        <c:gapWidth val="50"/>
        <c:overlap val="100"/>
        <c:axId val="112003664"/>
        <c:axId val="112001744"/>
      </c:barChart>
      <c:dateAx>
        <c:axId val="112003664"/>
        <c:scaling>
          <c:orientation val="minMax"/>
        </c:scaling>
        <c:delete val="0"/>
        <c:axPos val="b"/>
        <c:numFmt formatCode="mmm\-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1744"/>
        <c:crosses val="autoZero"/>
        <c:auto val="1"/>
        <c:lblOffset val="100"/>
        <c:baseTimeUnit val="months"/>
      </c:dateAx>
      <c:valAx>
        <c:axId val="112001744"/>
        <c:scaling>
          <c:orientation val="minMax"/>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3664"/>
        <c:crosses val="autoZero"/>
        <c:crossBetween val="between"/>
      </c:valAx>
      <c:spPr>
        <a:noFill/>
        <a:ln>
          <a:noFill/>
        </a:ln>
        <a:effectLst/>
      </c:spPr>
    </c:plotArea>
    <c:legend>
      <c:legendPos val="r"/>
      <c:layout>
        <c:manualLayout>
          <c:xMode val="edge"/>
          <c:yMode val="edge"/>
          <c:x val="4.7479801293777671E-2"/>
          <c:y val="0.30513435820522439"/>
          <c:w val="0.13473266125825178"/>
          <c:h val="0.303157034615956"/>
        </c:manualLayout>
      </c:layout>
      <c:overlay val="0"/>
      <c:spPr>
        <a:solidFill>
          <a:sysClr val="window" lastClr="FFFFFF"/>
        </a:solidFill>
        <a:ln>
          <a:noFill/>
        </a:ln>
        <a:effectLst/>
      </c:spPr>
      <c:txPr>
        <a:bodyPr rot="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0286054046798872E-2"/>
          <c:y val="9.6006817453829219E-2"/>
          <c:w val="0.92853215611846474"/>
          <c:h val="0.80054260946821454"/>
        </c:manualLayout>
      </c:layout>
      <c:barChart>
        <c:barDir val="col"/>
        <c:grouping val="stacked"/>
        <c:varyColors val="0"/>
        <c:ser>
          <c:idx val="2"/>
          <c:order val="0"/>
          <c:tx>
            <c:strRef>
              <c:f>'Fig A5.11 Air Defence (€)'!$C$6</c:f>
              <c:strCache>
                <c:ptCount val="1"/>
                <c:pt idx="0">
                  <c:v>Einzelplan 14</c:v>
                </c:pt>
              </c:strCache>
            </c:strRef>
          </c:tx>
          <c:spPr>
            <a:solidFill>
              <a:schemeClr val="accent1"/>
            </a:solidFill>
            <a:ln>
              <a:solidFill>
                <a:schemeClr val="tx1"/>
              </a:solidFill>
            </a:ln>
            <a:effectLst/>
          </c:spPr>
          <c:invertIfNegative val="0"/>
          <c:cat>
            <c:numRef>
              <c:f>'Fig A5.11 Air Defence (€)'!$B$7:$B$61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A5.11 Air Defence (€)'!$C$7:$C$61</c:f>
              <c:numCache>
                <c:formatCode>_(* #,##0.00_);_(* \(#,##0.00\);_(* "-"??_);_(@_)</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1.05</c:v>
                </c:pt>
              </c:numCache>
            </c:numRef>
          </c:val>
          <c:extLst>
            <c:ext xmlns:c16="http://schemas.microsoft.com/office/drawing/2014/chart" uri="{C3380CC4-5D6E-409C-BE32-E72D297353CC}">
              <c16:uniqueId val="{00000002-46C1-44FC-A6C1-0CE504A40773}"/>
            </c:ext>
          </c:extLst>
        </c:ser>
        <c:ser>
          <c:idx val="1"/>
          <c:order val="1"/>
          <c:tx>
            <c:strRef>
              <c:f>'Fig A5.11 Air Defence (€)'!$D$6</c:f>
              <c:strCache>
                <c:ptCount val="1"/>
                <c:pt idx="0">
                  <c:v>Sondervermögen</c:v>
                </c:pt>
              </c:strCache>
            </c:strRef>
          </c:tx>
          <c:spPr>
            <a:pattFill prst="pct60">
              <a:fgClr>
                <a:schemeClr val="accent5"/>
              </a:fgClr>
              <a:bgClr>
                <a:schemeClr val="bg1"/>
              </a:bgClr>
            </a:pattFill>
            <a:ln>
              <a:solidFill>
                <a:schemeClr val="tx1"/>
              </a:solidFill>
            </a:ln>
            <a:effectLst/>
          </c:spPr>
          <c:invertIfNegative val="0"/>
          <c:cat>
            <c:numRef>
              <c:f>'Fig A5.11 Air Defence (€)'!$B$7:$B$61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A5.11 Air Defence (€)'!$D$7:$D$61</c:f>
              <c:numCache>
                <c:formatCode>_(* #,##0.00_);_(* \(#,##0.00\);_(* "-"??_);_(@_)</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0.95</c:v>
                </c:pt>
                <c:pt idx="42">
                  <c:v>0</c:v>
                </c:pt>
                <c:pt idx="43">
                  <c:v>0</c:v>
                </c:pt>
                <c:pt idx="44">
                  <c:v>0</c:v>
                </c:pt>
                <c:pt idx="45">
                  <c:v>4.0404999999999998</c:v>
                </c:pt>
                <c:pt idx="46">
                  <c:v>0</c:v>
                </c:pt>
                <c:pt idx="47">
                  <c:v>0</c:v>
                </c:pt>
                <c:pt idx="48">
                  <c:v>0</c:v>
                </c:pt>
                <c:pt idx="49">
                  <c:v>0.64900000000000002</c:v>
                </c:pt>
                <c:pt idx="50">
                  <c:v>0.7</c:v>
                </c:pt>
                <c:pt idx="51">
                  <c:v>0</c:v>
                </c:pt>
                <c:pt idx="52">
                  <c:v>0</c:v>
                </c:pt>
                <c:pt idx="53">
                  <c:v>0</c:v>
                </c:pt>
                <c:pt idx="54">
                  <c:v>0</c:v>
                </c:pt>
              </c:numCache>
            </c:numRef>
          </c:val>
          <c:extLst>
            <c:ext xmlns:c16="http://schemas.microsoft.com/office/drawing/2014/chart" uri="{C3380CC4-5D6E-409C-BE32-E72D297353CC}">
              <c16:uniqueId val="{00000000-49E2-46DB-BEBA-DDCDDA0C1B17}"/>
            </c:ext>
          </c:extLst>
        </c:ser>
        <c:ser>
          <c:idx val="0"/>
          <c:order val="2"/>
          <c:tx>
            <c:strRef>
              <c:f>'Fig A5.11 Air Defence (€)'!$E$6</c:f>
              <c:strCache>
                <c:ptCount val="1"/>
                <c:pt idx="0">
                  <c:v>Einzelplan 60</c:v>
                </c:pt>
              </c:strCache>
            </c:strRef>
          </c:tx>
          <c:spPr>
            <a:pattFill prst="dkDnDiag">
              <a:fgClr>
                <a:schemeClr val="accent6"/>
              </a:fgClr>
              <a:bgClr>
                <a:schemeClr val="bg1"/>
              </a:bgClr>
            </a:pattFill>
            <a:ln>
              <a:solidFill>
                <a:schemeClr val="tx1"/>
              </a:solidFill>
            </a:ln>
            <a:effectLst/>
          </c:spPr>
          <c:invertIfNegative val="0"/>
          <c:cat>
            <c:numRef>
              <c:f>'Fig A5.11 Air Defence (€)'!$B$7:$B$61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A5.11 Air Defence (€)'!$E$7:$E$61</c:f>
              <c:numCache>
                <c:formatCode>_(* #,##0.00_);_(* \(#,##0.00\);_(* "-"??_);_(@_)</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0.7</c:v>
                </c:pt>
                <c:pt idx="51">
                  <c:v>0</c:v>
                </c:pt>
                <c:pt idx="52">
                  <c:v>0</c:v>
                </c:pt>
                <c:pt idx="53">
                  <c:v>0</c:v>
                </c:pt>
                <c:pt idx="54">
                  <c:v>0.35</c:v>
                </c:pt>
              </c:numCache>
            </c:numRef>
          </c:val>
          <c:extLst>
            <c:ext xmlns:c16="http://schemas.microsoft.com/office/drawing/2014/chart" uri="{C3380CC4-5D6E-409C-BE32-E72D297353CC}">
              <c16:uniqueId val="{00000000-7BD1-43FE-AD20-515FAE90FC7A}"/>
            </c:ext>
          </c:extLst>
        </c:ser>
        <c:dLbls>
          <c:showLegendKey val="0"/>
          <c:showVal val="0"/>
          <c:showCatName val="0"/>
          <c:showSerName val="0"/>
          <c:showPercent val="0"/>
          <c:showBubbleSize val="0"/>
        </c:dLbls>
        <c:gapWidth val="50"/>
        <c:overlap val="100"/>
        <c:axId val="112003664"/>
        <c:axId val="112001744"/>
      </c:barChart>
      <c:dateAx>
        <c:axId val="112003664"/>
        <c:scaling>
          <c:orientation val="minMax"/>
        </c:scaling>
        <c:delete val="0"/>
        <c:axPos val="b"/>
        <c:numFmt formatCode="mmm\-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1744"/>
        <c:crosses val="autoZero"/>
        <c:auto val="1"/>
        <c:lblOffset val="100"/>
        <c:baseTimeUnit val="months"/>
      </c:dateAx>
      <c:valAx>
        <c:axId val="112001744"/>
        <c:scaling>
          <c:orientation val="minMax"/>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3664"/>
        <c:crosses val="autoZero"/>
        <c:crossBetween val="between"/>
      </c:valAx>
      <c:spPr>
        <a:noFill/>
        <a:ln>
          <a:noFill/>
        </a:ln>
        <a:effectLst/>
      </c:spPr>
    </c:plotArea>
    <c:legend>
      <c:legendPos val="r"/>
      <c:layout>
        <c:manualLayout>
          <c:xMode val="edge"/>
          <c:yMode val="edge"/>
          <c:x val="4.4316633133792027E-2"/>
          <c:y val="0.25834107595906886"/>
          <c:w val="0.14825554534389823"/>
          <c:h val="0.31870321186013845"/>
        </c:manualLayout>
      </c:layout>
      <c:overlay val="0"/>
      <c:spPr>
        <a:solidFill>
          <a:sysClr val="window" lastClr="FFFFFF"/>
        </a:solidFill>
        <a:ln>
          <a:noFill/>
        </a:ln>
        <a:effectLst/>
      </c:spPr>
      <c:txPr>
        <a:bodyPr rot="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0286054046798872E-2"/>
          <c:y val="9.6006817453829219E-2"/>
          <c:w val="0.92853215611846474"/>
          <c:h val="0.80236438935026111"/>
        </c:manualLayout>
      </c:layout>
      <c:barChart>
        <c:barDir val="col"/>
        <c:grouping val="stacked"/>
        <c:varyColors val="0"/>
        <c:ser>
          <c:idx val="2"/>
          <c:order val="0"/>
          <c:tx>
            <c:strRef>
              <c:f>'Fig A5.12 Air Defence (units)'!$C$6</c:f>
              <c:strCache>
                <c:ptCount val="1"/>
                <c:pt idx="0">
                  <c:v>Einzelplan 14</c:v>
                </c:pt>
              </c:strCache>
            </c:strRef>
          </c:tx>
          <c:spPr>
            <a:solidFill>
              <a:schemeClr val="accent1"/>
            </a:solidFill>
            <a:ln>
              <a:solidFill>
                <a:schemeClr val="tx1"/>
              </a:solidFill>
            </a:ln>
            <a:effectLst/>
          </c:spPr>
          <c:invertIfNegative val="0"/>
          <c:cat>
            <c:numRef>
              <c:f>'Fig A5.12 Air Defence (units)'!$B$7:$B$61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A5.12 Air Defence (units)'!$C$7:$C$61</c:f>
              <c:numCache>
                <c:formatCode>_(* #,##0_);_(* \(#,##0\);_(* "-"??_);_(@_)</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3</c:v>
                </c:pt>
              </c:numCache>
            </c:numRef>
          </c:val>
          <c:extLst>
            <c:ext xmlns:c16="http://schemas.microsoft.com/office/drawing/2014/chart" uri="{C3380CC4-5D6E-409C-BE32-E72D297353CC}">
              <c16:uniqueId val="{00000000-E8B8-459D-9AE7-ABE94F25D91D}"/>
            </c:ext>
          </c:extLst>
        </c:ser>
        <c:ser>
          <c:idx val="1"/>
          <c:order val="1"/>
          <c:tx>
            <c:strRef>
              <c:f>'Fig A5.12 Air Defence (units)'!$D$6</c:f>
              <c:strCache>
                <c:ptCount val="1"/>
                <c:pt idx="0">
                  <c:v>Sondervermögen</c:v>
                </c:pt>
              </c:strCache>
            </c:strRef>
          </c:tx>
          <c:spPr>
            <a:pattFill prst="pct60">
              <a:fgClr>
                <a:schemeClr val="accent5"/>
              </a:fgClr>
              <a:bgClr>
                <a:schemeClr val="bg1"/>
              </a:bgClr>
            </a:pattFill>
            <a:ln>
              <a:solidFill>
                <a:schemeClr val="tx1"/>
              </a:solidFill>
            </a:ln>
            <a:effectLst/>
          </c:spPr>
          <c:invertIfNegative val="0"/>
          <c:cat>
            <c:numRef>
              <c:f>'Fig A5.12 Air Defence (units)'!$B$7:$B$61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A5.12 Air Defence (units)'!$D$7:$D$61</c:f>
              <c:numCache>
                <c:formatCode>_(* #,##0_);_(* \(#,##0\);_(* "-"??_);_(@_)</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6</c:v>
                </c:pt>
                <c:pt idx="42">
                  <c:v>0</c:v>
                </c:pt>
                <c:pt idx="43">
                  <c:v>0</c:v>
                </c:pt>
                <c:pt idx="44">
                  <c:v>0</c:v>
                </c:pt>
                <c:pt idx="45">
                  <c:v>1</c:v>
                </c:pt>
                <c:pt idx="46">
                  <c:v>0</c:v>
                </c:pt>
                <c:pt idx="47">
                  <c:v>0</c:v>
                </c:pt>
                <c:pt idx="48">
                  <c:v>0</c:v>
                </c:pt>
                <c:pt idx="49">
                  <c:v>19</c:v>
                </c:pt>
                <c:pt idx="50">
                  <c:v>2</c:v>
                </c:pt>
                <c:pt idx="51">
                  <c:v>0</c:v>
                </c:pt>
                <c:pt idx="52">
                  <c:v>0</c:v>
                </c:pt>
                <c:pt idx="53">
                  <c:v>0</c:v>
                </c:pt>
                <c:pt idx="54">
                  <c:v>0</c:v>
                </c:pt>
              </c:numCache>
            </c:numRef>
          </c:val>
          <c:extLst>
            <c:ext xmlns:c16="http://schemas.microsoft.com/office/drawing/2014/chart" uri="{C3380CC4-5D6E-409C-BE32-E72D297353CC}">
              <c16:uniqueId val="{00000000-F2A6-466F-8FAB-5F5657D66265}"/>
            </c:ext>
          </c:extLst>
        </c:ser>
        <c:ser>
          <c:idx val="0"/>
          <c:order val="2"/>
          <c:tx>
            <c:strRef>
              <c:f>'Fig A5.12 Air Defence (units)'!$E$6</c:f>
              <c:strCache>
                <c:ptCount val="1"/>
                <c:pt idx="0">
                  <c:v>Einzelplan 60</c:v>
                </c:pt>
              </c:strCache>
            </c:strRef>
          </c:tx>
          <c:spPr>
            <a:pattFill prst="dkDnDiag">
              <a:fgClr>
                <a:schemeClr val="accent6"/>
              </a:fgClr>
              <a:bgClr>
                <a:schemeClr val="bg1"/>
              </a:bgClr>
            </a:pattFill>
            <a:ln>
              <a:solidFill>
                <a:schemeClr val="tx1"/>
              </a:solidFill>
            </a:ln>
            <a:effectLst/>
          </c:spPr>
          <c:invertIfNegative val="0"/>
          <c:cat>
            <c:numRef>
              <c:f>'Fig A5.12 Air Defence (units)'!$B$7:$B$61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A5.12 Air Defence (units)'!$E$7:$E$61</c:f>
              <c:numCache>
                <c:formatCode>_(* #,##0_);_(* \(#,##0\);_(* "-"??_);_(@_)</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2</c:v>
                </c:pt>
                <c:pt idx="51">
                  <c:v>0</c:v>
                </c:pt>
                <c:pt idx="52">
                  <c:v>0</c:v>
                </c:pt>
                <c:pt idx="53">
                  <c:v>0</c:v>
                </c:pt>
                <c:pt idx="54">
                  <c:v>1</c:v>
                </c:pt>
              </c:numCache>
            </c:numRef>
          </c:val>
          <c:extLst>
            <c:ext xmlns:c16="http://schemas.microsoft.com/office/drawing/2014/chart" uri="{C3380CC4-5D6E-409C-BE32-E72D297353CC}">
              <c16:uniqueId val="{00000000-6024-42AC-BFF9-CFE0D2FF4219}"/>
            </c:ext>
          </c:extLst>
        </c:ser>
        <c:dLbls>
          <c:showLegendKey val="0"/>
          <c:showVal val="0"/>
          <c:showCatName val="0"/>
          <c:showSerName val="0"/>
          <c:showPercent val="0"/>
          <c:showBubbleSize val="0"/>
        </c:dLbls>
        <c:gapWidth val="50"/>
        <c:overlap val="100"/>
        <c:axId val="112003664"/>
        <c:axId val="112001744"/>
      </c:barChart>
      <c:dateAx>
        <c:axId val="112003664"/>
        <c:scaling>
          <c:orientation val="minMax"/>
        </c:scaling>
        <c:delete val="0"/>
        <c:axPos val="b"/>
        <c:numFmt formatCode="mmm\-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1744"/>
        <c:crosses val="autoZero"/>
        <c:auto val="1"/>
        <c:lblOffset val="100"/>
        <c:baseTimeUnit val="months"/>
      </c:dateAx>
      <c:valAx>
        <c:axId val="112001744"/>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3664"/>
        <c:crosses val="autoZero"/>
        <c:crossBetween val="between"/>
      </c:valAx>
      <c:spPr>
        <a:noFill/>
        <a:ln>
          <a:noFill/>
        </a:ln>
        <a:effectLst/>
      </c:spPr>
    </c:plotArea>
    <c:legend>
      <c:legendPos val="r"/>
      <c:layout>
        <c:manualLayout>
          <c:xMode val="edge"/>
          <c:yMode val="edge"/>
          <c:x val="3.9060311222911884E-2"/>
          <c:y val="0.24628582396284893"/>
          <c:w val="0.15670558935814841"/>
          <c:h val="0.28170547498447351"/>
        </c:manualLayout>
      </c:layout>
      <c:overlay val="0"/>
      <c:spPr>
        <a:solidFill>
          <a:sysClr val="window" lastClr="FFFFFF"/>
        </a:solidFill>
        <a:ln>
          <a:noFill/>
        </a:ln>
        <a:effectLst/>
      </c:spPr>
      <c:txPr>
        <a:bodyPr rot="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0286054046798872E-2"/>
          <c:y val="9.6006817453829219E-2"/>
          <c:w val="0.92853215611846474"/>
          <c:h val="0.80272157567699998"/>
        </c:manualLayout>
      </c:layout>
      <c:barChart>
        <c:barDir val="col"/>
        <c:grouping val="stacked"/>
        <c:varyColors val="0"/>
        <c:ser>
          <c:idx val="1"/>
          <c:order val="0"/>
          <c:tx>
            <c:strRef>
              <c:f>'Fig A5.13 Armoured vehicle (€)'!$C$6</c:f>
              <c:strCache>
                <c:ptCount val="1"/>
                <c:pt idx="0">
                  <c:v>Einzelplan 14</c:v>
                </c:pt>
              </c:strCache>
            </c:strRef>
          </c:tx>
          <c:spPr>
            <a:solidFill>
              <a:schemeClr val="accent1"/>
            </a:solidFill>
            <a:ln>
              <a:solidFill>
                <a:schemeClr val="tx1"/>
              </a:solidFill>
            </a:ln>
            <a:effectLst/>
          </c:spPr>
          <c:invertIfNegative val="0"/>
          <c:cat>
            <c:numRef>
              <c:f>'Fig A5.13 Armoured vehicle (€)'!$B$7:$B$61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A5.13 Armoured vehicle (€)'!$C$7:$C$61</c:f>
              <c:numCache>
                <c:formatCode>_(* #,##0.00_);_(* \(#,##0.00\);_(* "-"??_);_(@_)</c:formatCode>
                <c:ptCount val="55"/>
                <c:pt idx="0">
                  <c:v>0</c:v>
                </c:pt>
                <c:pt idx="1">
                  <c:v>0</c:v>
                </c:pt>
                <c:pt idx="2">
                  <c:v>0</c:v>
                </c:pt>
                <c:pt idx="3">
                  <c:v>0</c:v>
                </c:pt>
                <c:pt idx="4">
                  <c:v>0</c:v>
                </c:pt>
                <c:pt idx="5">
                  <c:v>0</c:v>
                </c:pt>
                <c:pt idx="6">
                  <c:v>0</c:v>
                </c:pt>
                <c:pt idx="7">
                  <c:v>0</c:v>
                </c:pt>
                <c:pt idx="8">
                  <c:v>0</c:v>
                </c:pt>
                <c:pt idx="9">
                  <c:v>0</c:v>
                </c:pt>
                <c:pt idx="10">
                  <c:v>0.18</c:v>
                </c:pt>
                <c:pt idx="11">
                  <c:v>0</c:v>
                </c:pt>
                <c:pt idx="12">
                  <c:v>0</c:v>
                </c:pt>
                <c:pt idx="13">
                  <c:v>0</c:v>
                </c:pt>
                <c:pt idx="14">
                  <c:v>0</c:v>
                </c:pt>
                <c:pt idx="15">
                  <c:v>0.29499999999999998</c:v>
                </c:pt>
                <c:pt idx="16">
                  <c:v>0</c:v>
                </c:pt>
                <c:pt idx="17">
                  <c:v>1.079</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0.19620000000000001</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0-9398-496D-AD17-23D8485D715D}"/>
            </c:ext>
          </c:extLst>
        </c:ser>
        <c:ser>
          <c:idx val="0"/>
          <c:order val="1"/>
          <c:tx>
            <c:strRef>
              <c:f>'Fig A5.13 Armoured vehicle (€)'!$D$6</c:f>
              <c:strCache>
                <c:ptCount val="1"/>
                <c:pt idx="0">
                  <c:v>Sondervermögen</c:v>
                </c:pt>
              </c:strCache>
            </c:strRef>
          </c:tx>
          <c:spPr>
            <a:pattFill prst="pct60">
              <a:fgClr>
                <a:schemeClr val="accent5"/>
              </a:fgClr>
              <a:bgClr>
                <a:schemeClr val="bg1"/>
              </a:bgClr>
            </a:pattFill>
            <a:ln>
              <a:solidFill>
                <a:schemeClr val="tx1"/>
              </a:solidFill>
            </a:ln>
            <a:effectLst/>
          </c:spPr>
          <c:invertIfNegative val="0"/>
          <c:cat>
            <c:numRef>
              <c:f>'Fig A5.13 Armoured vehicle (€)'!$B$7:$B$61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A5.13 Armoured vehicle (€)'!$D$7:$D$61</c:f>
              <c:numCache>
                <c:formatCode>_(* #,##0.00_);_(* \(#,##0.00\);_(* "-"??_);_(@_)</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1.2549999999999999</c:v>
                </c:pt>
                <c:pt idx="36">
                  <c:v>0</c:v>
                </c:pt>
                <c:pt idx="37">
                  <c:v>0</c:v>
                </c:pt>
                <c:pt idx="38">
                  <c:v>0.91900000000000004</c:v>
                </c:pt>
                <c:pt idx="39">
                  <c:v>0</c:v>
                </c:pt>
                <c:pt idx="40">
                  <c:v>1.087</c:v>
                </c:pt>
                <c:pt idx="41">
                  <c:v>0</c:v>
                </c:pt>
                <c:pt idx="42">
                  <c:v>0.87</c:v>
                </c:pt>
                <c:pt idx="43">
                  <c:v>0</c:v>
                </c:pt>
                <c:pt idx="44">
                  <c:v>0</c:v>
                </c:pt>
                <c:pt idx="45">
                  <c:v>0</c:v>
                </c:pt>
                <c:pt idx="46">
                  <c:v>0</c:v>
                </c:pt>
                <c:pt idx="47">
                  <c:v>6.4000000000000001E-2</c:v>
                </c:pt>
                <c:pt idx="48">
                  <c:v>0</c:v>
                </c:pt>
                <c:pt idx="49">
                  <c:v>0</c:v>
                </c:pt>
                <c:pt idx="50">
                  <c:v>1.94</c:v>
                </c:pt>
                <c:pt idx="51">
                  <c:v>0.109</c:v>
                </c:pt>
                <c:pt idx="52">
                  <c:v>0</c:v>
                </c:pt>
                <c:pt idx="53">
                  <c:v>8.5999999999999993E-2</c:v>
                </c:pt>
                <c:pt idx="54">
                  <c:v>0</c:v>
                </c:pt>
              </c:numCache>
            </c:numRef>
          </c:val>
          <c:extLst>
            <c:ext xmlns:c16="http://schemas.microsoft.com/office/drawing/2014/chart" uri="{C3380CC4-5D6E-409C-BE32-E72D297353CC}">
              <c16:uniqueId val="{00000001-9398-496D-AD17-23D8485D715D}"/>
            </c:ext>
          </c:extLst>
        </c:ser>
        <c:ser>
          <c:idx val="2"/>
          <c:order val="2"/>
          <c:tx>
            <c:strRef>
              <c:f>'Fig A5.13 Armoured vehicle (€)'!$E$6</c:f>
              <c:strCache>
                <c:ptCount val="1"/>
                <c:pt idx="0">
                  <c:v>Einzelplan 60</c:v>
                </c:pt>
              </c:strCache>
            </c:strRef>
          </c:tx>
          <c:spPr>
            <a:pattFill prst="dkDnDiag">
              <a:fgClr>
                <a:schemeClr val="accent6"/>
              </a:fgClr>
              <a:bgClr>
                <a:schemeClr val="bg1"/>
              </a:bgClr>
            </a:pattFill>
            <a:ln>
              <a:solidFill>
                <a:schemeClr val="tx1"/>
              </a:solidFill>
            </a:ln>
            <a:effectLst/>
          </c:spPr>
          <c:invertIfNegative val="0"/>
          <c:cat>
            <c:numRef>
              <c:f>'Fig A5.13 Armoured vehicle (€)'!$B$7:$B$61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A5.13 Armoured vehicle (€)'!$E$7:$E$61</c:f>
              <c:numCache>
                <c:formatCode>_(* #,##0.00_);_(* \(#,##0.00\);_(* "-"??_);_(@_)</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0.15</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2-9398-496D-AD17-23D8485D715D}"/>
            </c:ext>
          </c:extLst>
        </c:ser>
        <c:dLbls>
          <c:showLegendKey val="0"/>
          <c:showVal val="0"/>
          <c:showCatName val="0"/>
          <c:showSerName val="0"/>
          <c:showPercent val="0"/>
          <c:showBubbleSize val="0"/>
        </c:dLbls>
        <c:gapWidth val="50"/>
        <c:overlap val="100"/>
        <c:axId val="112003664"/>
        <c:axId val="112001744"/>
      </c:barChart>
      <c:dateAx>
        <c:axId val="112003664"/>
        <c:scaling>
          <c:orientation val="minMax"/>
        </c:scaling>
        <c:delete val="0"/>
        <c:axPos val="b"/>
        <c:numFmt formatCode="mmm\-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1744"/>
        <c:crosses val="autoZero"/>
        <c:auto val="1"/>
        <c:lblOffset val="100"/>
        <c:baseTimeUnit val="months"/>
      </c:dateAx>
      <c:valAx>
        <c:axId val="112001744"/>
        <c:scaling>
          <c:orientation val="minMax"/>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3664"/>
        <c:crosses val="autoZero"/>
        <c:crossBetween val="between"/>
      </c:valAx>
      <c:spPr>
        <a:noFill/>
        <a:ln>
          <a:noFill/>
        </a:ln>
        <a:effectLst/>
      </c:spPr>
    </c:plotArea>
    <c:legend>
      <c:legendPos val="r"/>
      <c:layout>
        <c:manualLayout>
          <c:xMode val="edge"/>
          <c:yMode val="edge"/>
          <c:x val="4.7479801293777671E-2"/>
          <c:y val="0.24815024608249772"/>
          <c:w val="0.14733100360560991"/>
          <c:h val="0.27940974530383467"/>
        </c:manualLayout>
      </c:layout>
      <c:overlay val="0"/>
      <c:spPr>
        <a:solidFill>
          <a:sysClr val="window" lastClr="FFFFFF"/>
        </a:solidFill>
        <a:ln>
          <a:noFill/>
        </a:ln>
        <a:effectLst/>
      </c:spPr>
      <c:txPr>
        <a:bodyPr rot="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0286054046798872E-2"/>
          <c:y val="9.6006817453829219E-2"/>
          <c:w val="0.92853215611846474"/>
          <c:h val="0.79710504005831195"/>
        </c:manualLayout>
      </c:layout>
      <c:barChart>
        <c:barDir val="col"/>
        <c:grouping val="stacked"/>
        <c:varyColors val="0"/>
        <c:ser>
          <c:idx val="1"/>
          <c:order val="0"/>
          <c:tx>
            <c:strRef>
              <c:f>'Fig A5.14 Arm. vehicle (units)'!$C$6</c:f>
              <c:strCache>
                <c:ptCount val="1"/>
                <c:pt idx="0">
                  <c:v>Einzelplan 14</c:v>
                </c:pt>
              </c:strCache>
            </c:strRef>
          </c:tx>
          <c:spPr>
            <a:solidFill>
              <a:schemeClr val="accent1"/>
            </a:solidFill>
            <a:ln>
              <a:solidFill>
                <a:schemeClr val="tx1"/>
              </a:solidFill>
            </a:ln>
            <a:effectLst/>
          </c:spPr>
          <c:invertIfNegative val="0"/>
          <c:cat>
            <c:numRef>
              <c:f>'Fig A5.14 Arm. vehicle (units)'!$B$7:$B$61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A5.14 Arm. vehicle (units)'!$C$7:$C$61</c:f>
              <c:numCache>
                <c:formatCode>_(* #,##0_);_(* \(#,##0\);_(* "-"??_);_(@_)</c:formatCode>
                <c:ptCount val="55"/>
                <c:pt idx="0">
                  <c:v>0</c:v>
                </c:pt>
                <c:pt idx="1">
                  <c:v>0</c:v>
                </c:pt>
                <c:pt idx="2">
                  <c:v>0</c:v>
                </c:pt>
                <c:pt idx="3">
                  <c:v>0</c:v>
                </c:pt>
                <c:pt idx="4">
                  <c:v>0</c:v>
                </c:pt>
                <c:pt idx="5">
                  <c:v>0</c:v>
                </c:pt>
                <c:pt idx="6">
                  <c:v>0</c:v>
                </c:pt>
                <c:pt idx="7">
                  <c:v>0</c:v>
                </c:pt>
                <c:pt idx="8">
                  <c:v>0</c:v>
                </c:pt>
                <c:pt idx="9">
                  <c:v>0</c:v>
                </c:pt>
                <c:pt idx="10">
                  <c:v>224</c:v>
                </c:pt>
                <c:pt idx="11">
                  <c:v>0</c:v>
                </c:pt>
                <c:pt idx="12">
                  <c:v>0</c:v>
                </c:pt>
                <c:pt idx="13">
                  <c:v>0</c:v>
                </c:pt>
                <c:pt idx="14">
                  <c:v>0</c:v>
                </c:pt>
                <c:pt idx="15">
                  <c:v>44</c:v>
                </c:pt>
                <c:pt idx="16">
                  <c:v>0</c:v>
                </c:pt>
                <c:pt idx="17">
                  <c:v>170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230</c:v>
                </c:pt>
                <c:pt idx="39">
                  <c:v>0</c:v>
                </c:pt>
                <c:pt idx="40">
                  <c:v>0</c:v>
                </c:pt>
                <c:pt idx="41">
                  <c:v>164</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0-0E11-4BB4-B0A6-A060A488CBE9}"/>
            </c:ext>
          </c:extLst>
        </c:ser>
        <c:ser>
          <c:idx val="0"/>
          <c:order val="1"/>
          <c:tx>
            <c:strRef>
              <c:f>'Fig A5.14 Arm. vehicle (units)'!$D$6</c:f>
              <c:strCache>
                <c:ptCount val="1"/>
                <c:pt idx="0">
                  <c:v>Sondervermögen</c:v>
                </c:pt>
              </c:strCache>
            </c:strRef>
          </c:tx>
          <c:spPr>
            <a:pattFill prst="pct60">
              <a:fgClr>
                <a:schemeClr val="accent5"/>
              </a:fgClr>
              <a:bgClr>
                <a:schemeClr val="bg1"/>
              </a:bgClr>
            </a:pattFill>
            <a:ln>
              <a:solidFill>
                <a:schemeClr val="tx1"/>
              </a:solidFill>
            </a:ln>
            <a:effectLst/>
          </c:spPr>
          <c:invertIfNegative val="0"/>
          <c:cat>
            <c:numRef>
              <c:f>'Fig A5.14 Arm. vehicle (units)'!$B$7:$B$61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A5.14 Arm. vehicle (units)'!$D$7:$D$61</c:f>
              <c:numCache>
                <c:formatCode>_(* #,##0_);_(* \(#,##0\);_(* "-"??_);_(@_)</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283</c:v>
                </c:pt>
                <c:pt idx="36">
                  <c:v>0</c:v>
                </c:pt>
                <c:pt idx="37">
                  <c:v>0</c:v>
                </c:pt>
                <c:pt idx="38">
                  <c:v>227</c:v>
                </c:pt>
                <c:pt idx="39">
                  <c:v>0</c:v>
                </c:pt>
                <c:pt idx="40">
                  <c:v>50</c:v>
                </c:pt>
                <c:pt idx="41">
                  <c:v>0</c:v>
                </c:pt>
                <c:pt idx="42">
                  <c:v>1508</c:v>
                </c:pt>
                <c:pt idx="43">
                  <c:v>0</c:v>
                </c:pt>
                <c:pt idx="44">
                  <c:v>0</c:v>
                </c:pt>
                <c:pt idx="45">
                  <c:v>0</c:v>
                </c:pt>
                <c:pt idx="46">
                  <c:v>0</c:v>
                </c:pt>
                <c:pt idx="47">
                  <c:v>367</c:v>
                </c:pt>
                <c:pt idx="48">
                  <c:v>0</c:v>
                </c:pt>
                <c:pt idx="49">
                  <c:v>0</c:v>
                </c:pt>
                <c:pt idx="50">
                  <c:v>123</c:v>
                </c:pt>
                <c:pt idx="51">
                  <c:v>258</c:v>
                </c:pt>
                <c:pt idx="52">
                  <c:v>0</c:v>
                </c:pt>
                <c:pt idx="53">
                  <c:v>265</c:v>
                </c:pt>
                <c:pt idx="54">
                  <c:v>0</c:v>
                </c:pt>
              </c:numCache>
            </c:numRef>
          </c:val>
          <c:extLst>
            <c:ext xmlns:c16="http://schemas.microsoft.com/office/drawing/2014/chart" uri="{C3380CC4-5D6E-409C-BE32-E72D297353CC}">
              <c16:uniqueId val="{00000001-0E11-4BB4-B0A6-A060A488CBE9}"/>
            </c:ext>
          </c:extLst>
        </c:ser>
        <c:ser>
          <c:idx val="2"/>
          <c:order val="2"/>
          <c:tx>
            <c:strRef>
              <c:f>'Fig A5.14 Arm. vehicle (units)'!$E$6</c:f>
              <c:strCache>
                <c:ptCount val="1"/>
                <c:pt idx="0">
                  <c:v>Einzelplan 60</c:v>
                </c:pt>
              </c:strCache>
            </c:strRef>
          </c:tx>
          <c:spPr>
            <a:pattFill prst="dkDnDiag">
              <a:fgClr>
                <a:schemeClr val="accent6"/>
              </a:fgClr>
              <a:bgClr>
                <a:schemeClr val="bg1"/>
              </a:bgClr>
            </a:pattFill>
            <a:ln>
              <a:solidFill>
                <a:schemeClr val="tx1">
                  <a:alpha val="91000"/>
                </a:schemeClr>
              </a:solidFill>
            </a:ln>
            <a:effectLst/>
          </c:spPr>
          <c:invertIfNegative val="0"/>
          <c:cat>
            <c:numRef>
              <c:f>'Fig A5.14 Arm. vehicle (units)'!$B$7:$B$61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A5.14 Arm. vehicle (units)'!$E$7:$E$61</c:f>
              <c:numCache>
                <c:formatCode>_(* #,##0_);_(* \(#,##0\);_(* "-"??_);_(@_)</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50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2-0E11-4BB4-B0A6-A060A488CBE9}"/>
            </c:ext>
          </c:extLst>
        </c:ser>
        <c:dLbls>
          <c:showLegendKey val="0"/>
          <c:showVal val="0"/>
          <c:showCatName val="0"/>
          <c:showSerName val="0"/>
          <c:showPercent val="0"/>
          <c:showBubbleSize val="0"/>
        </c:dLbls>
        <c:gapWidth val="50"/>
        <c:overlap val="100"/>
        <c:axId val="112003664"/>
        <c:axId val="112001744"/>
      </c:barChart>
      <c:dateAx>
        <c:axId val="112003664"/>
        <c:scaling>
          <c:orientation val="minMax"/>
        </c:scaling>
        <c:delete val="0"/>
        <c:axPos val="b"/>
        <c:numFmt formatCode="mmm\-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1744"/>
        <c:crosses val="autoZero"/>
        <c:auto val="1"/>
        <c:lblOffset val="100"/>
        <c:baseTimeUnit val="months"/>
      </c:dateAx>
      <c:valAx>
        <c:axId val="112001744"/>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3664"/>
        <c:crosses val="autoZero"/>
        <c:crossBetween val="between"/>
      </c:valAx>
      <c:spPr>
        <a:noFill/>
        <a:ln>
          <a:noFill/>
        </a:ln>
        <a:effectLst/>
      </c:spPr>
    </c:plotArea>
    <c:legend>
      <c:legendPos val="r"/>
      <c:layout>
        <c:manualLayout>
          <c:xMode val="edge"/>
          <c:yMode val="edge"/>
          <c:x val="6.1177585102747123E-2"/>
          <c:y val="0.2855572657112736"/>
          <c:w val="0.14843042296704059"/>
          <c:h val="0.34065848294588924"/>
        </c:manualLayout>
      </c:layout>
      <c:overlay val="0"/>
      <c:spPr>
        <a:solidFill>
          <a:sysClr val="window" lastClr="FFFFFF"/>
        </a:solidFill>
        <a:ln>
          <a:noFill/>
        </a:ln>
        <a:effectLst/>
      </c:spPr>
      <c:txPr>
        <a:bodyPr rot="0" spcFirstLastPara="1" vertOverflow="ellipsis" vert="horz" wrap="square" anchor="ctr" anchorCtr="1"/>
        <a:lstStyle/>
        <a:p>
          <a:pPr>
            <a:defRPr sz="1600" b="0" i="0" u="none" strike="noStrike" kern="1200"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0286054046798872E-2"/>
          <c:y val="9.6006817453829219E-2"/>
          <c:w val="0.92853215611846474"/>
          <c:h val="0.80148741811554169"/>
        </c:manualLayout>
      </c:layout>
      <c:barChart>
        <c:barDir val="col"/>
        <c:grouping val="stacked"/>
        <c:varyColors val="0"/>
        <c:ser>
          <c:idx val="1"/>
          <c:order val="0"/>
          <c:tx>
            <c:strRef>
              <c:f>'Fig A5.15 Aircraft (€)'!$C$6</c:f>
              <c:strCache>
                <c:ptCount val="1"/>
                <c:pt idx="0">
                  <c:v>Einzelplan 14</c:v>
                </c:pt>
              </c:strCache>
            </c:strRef>
          </c:tx>
          <c:spPr>
            <a:solidFill>
              <a:schemeClr val="accent1"/>
            </a:solidFill>
            <a:ln>
              <a:solidFill>
                <a:schemeClr val="tx1"/>
              </a:solidFill>
            </a:ln>
            <a:effectLst/>
          </c:spPr>
          <c:invertIfNegative val="0"/>
          <c:cat>
            <c:numRef>
              <c:f>'Fig A5.15 Aircraft (€)'!$B$7:$B$61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A5.15 Aircraft (€)'!$C$7:$C$61</c:f>
              <c:numCache>
                <c:formatCode>_(* #,##0.00_);_(* \(#,##0.00\);_(* "-"??_);_(@_)</c:formatCode>
                <c:ptCount val="55"/>
                <c:pt idx="0">
                  <c:v>0</c:v>
                </c:pt>
                <c:pt idx="1">
                  <c:v>0</c:v>
                </c:pt>
                <c:pt idx="2">
                  <c:v>0</c:v>
                </c:pt>
                <c:pt idx="3">
                  <c:v>0</c:v>
                </c:pt>
                <c:pt idx="4">
                  <c:v>0</c:v>
                </c:pt>
                <c:pt idx="5">
                  <c:v>2.8</c:v>
                </c:pt>
                <c:pt idx="6">
                  <c:v>0</c:v>
                </c:pt>
                <c:pt idx="7">
                  <c:v>0</c:v>
                </c:pt>
                <c:pt idx="8">
                  <c:v>0.21299999999999999</c:v>
                </c:pt>
                <c:pt idx="9">
                  <c:v>0</c:v>
                </c:pt>
                <c:pt idx="10">
                  <c:v>5.5</c:v>
                </c:pt>
                <c:pt idx="11">
                  <c:v>0</c:v>
                </c:pt>
                <c:pt idx="12">
                  <c:v>0</c:v>
                </c:pt>
                <c:pt idx="13">
                  <c:v>0</c:v>
                </c:pt>
                <c:pt idx="14">
                  <c:v>0</c:v>
                </c:pt>
                <c:pt idx="15">
                  <c:v>0.105</c:v>
                </c:pt>
                <c:pt idx="16">
                  <c:v>0</c:v>
                </c:pt>
                <c:pt idx="17">
                  <c:v>1.8129999999999999</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4.9299999999999997E-2</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0-5058-4AFB-A5E9-DD8B2E04B01C}"/>
            </c:ext>
          </c:extLst>
        </c:ser>
        <c:ser>
          <c:idx val="0"/>
          <c:order val="1"/>
          <c:tx>
            <c:strRef>
              <c:f>'Fig A5.15 Aircraft (€)'!$D$6</c:f>
              <c:strCache>
                <c:ptCount val="1"/>
                <c:pt idx="0">
                  <c:v>Sondervermögen</c:v>
                </c:pt>
              </c:strCache>
            </c:strRef>
          </c:tx>
          <c:spPr>
            <a:pattFill prst="pct60">
              <a:fgClr>
                <a:schemeClr val="accent5"/>
              </a:fgClr>
              <a:bgClr>
                <a:schemeClr val="bg1"/>
              </a:bgClr>
            </a:pattFill>
            <a:ln>
              <a:solidFill>
                <a:schemeClr val="tx1"/>
              </a:solidFill>
            </a:ln>
            <a:effectLst/>
          </c:spPr>
          <c:invertIfNegative val="0"/>
          <c:cat>
            <c:numRef>
              <c:f>'Fig A5.15 Aircraft (€)'!$B$7:$B$61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A5.15 Aircraft (€)'!$D$7:$D$61</c:f>
              <c:numCache>
                <c:formatCode>_(* #,##0.00_);_(* \(#,##0.00\);_(* "-"??_);_(@_)</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8.3000000000000007</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4.2999999999999997E-2</c:v>
                </c:pt>
                <c:pt idx="52">
                  <c:v>0</c:v>
                </c:pt>
                <c:pt idx="53">
                  <c:v>6.6000000000000003E-2</c:v>
                </c:pt>
                <c:pt idx="54">
                  <c:v>0</c:v>
                </c:pt>
              </c:numCache>
            </c:numRef>
          </c:val>
          <c:extLst>
            <c:ext xmlns:c16="http://schemas.microsoft.com/office/drawing/2014/chart" uri="{C3380CC4-5D6E-409C-BE32-E72D297353CC}">
              <c16:uniqueId val="{00000001-5058-4AFB-A5E9-DD8B2E04B01C}"/>
            </c:ext>
          </c:extLst>
        </c:ser>
        <c:dLbls>
          <c:showLegendKey val="0"/>
          <c:showVal val="0"/>
          <c:showCatName val="0"/>
          <c:showSerName val="0"/>
          <c:showPercent val="0"/>
          <c:showBubbleSize val="0"/>
        </c:dLbls>
        <c:gapWidth val="50"/>
        <c:overlap val="100"/>
        <c:axId val="112003664"/>
        <c:axId val="112001744"/>
      </c:barChart>
      <c:dateAx>
        <c:axId val="112003664"/>
        <c:scaling>
          <c:orientation val="minMax"/>
        </c:scaling>
        <c:delete val="0"/>
        <c:axPos val="b"/>
        <c:numFmt formatCode="mmm\-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1744"/>
        <c:crosses val="autoZero"/>
        <c:auto val="1"/>
        <c:lblOffset val="100"/>
        <c:baseTimeUnit val="months"/>
      </c:dateAx>
      <c:valAx>
        <c:axId val="112001744"/>
        <c:scaling>
          <c:orientation val="minMax"/>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3664"/>
        <c:crosses val="autoZero"/>
        <c:crossBetween val="between"/>
      </c:valAx>
      <c:spPr>
        <a:noFill/>
        <a:ln>
          <a:noFill/>
        </a:ln>
        <a:effectLst/>
      </c:spPr>
    </c:plotArea>
    <c:legend>
      <c:legendPos val="r"/>
      <c:layout>
        <c:manualLayout>
          <c:xMode val="edge"/>
          <c:yMode val="edge"/>
          <c:x val="5.0640343725973647E-2"/>
          <c:y val="0.25740978275456355"/>
          <c:w val="0.14837325021872266"/>
          <c:h val="0.28074236707331918"/>
        </c:manualLayout>
      </c:layout>
      <c:overlay val="0"/>
      <c:spPr>
        <a:solidFill>
          <a:sysClr val="window" lastClr="FFFFFF"/>
        </a:solidFill>
        <a:ln>
          <a:noFill/>
        </a:ln>
        <a:effectLst/>
      </c:spPr>
      <c:txPr>
        <a:bodyPr rot="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0286054046798872E-2"/>
          <c:y val="9.6006817453829219E-2"/>
          <c:w val="0.92853215611846474"/>
          <c:h val="0.80148741811554169"/>
        </c:manualLayout>
      </c:layout>
      <c:barChart>
        <c:barDir val="col"/>
        <c:grouping val="stacked"/>
        <c:varyColors val="0"/>
        <c:ser>
          <c:idx val="1"/>
          <c:order val="0"/>
          <c:tx>
            <c:strRef>
              <c:f>'Fig A5.16 Fighter Jet (units)'!$C$6</c:f>
              <c:strCache>
                <c:ptCount val="1"/>
                <c:pt idx="0">
                  <c:v>Einzelplan 14</c:v>
                </c:pt>
              </c:strCache>
            </c:strRef>
          </c:tx>
          <c:spPr>
            <a:solidFill>
              <a:schemeClr val="accent1"/>
            </a:solidFill>
            <a:ln>
              <a:solidFill>
                <a:schemeClr val="tx1"/>
              </a:solidFill>
            </a:ln>
            <a:effectLst/>
          </c:spPr>
          <c:invertIfNegative val="0"/>
          <c:cat>
            <c:numRef>
              <c:f>'Fig A5.16 Fighter Jet (units)'!$B$7:$B$61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A5.16 Fighter Jet (units)'!$C$7:$C$61</c:f>
              <c:numCache>
                <c:formatCode>_(* #,##0_);_(* \(#,##0\);_(* "-"??_);_(@_)</c:formatCode>
                <c:ptCount val="55"/>
                <c:pt idx="0">
                  <c:v>0</c:v>
                </c:pt>
                <c:pt idx="1">
                  <c:v>0</c:v>
                </c:pt>
                <c:pt idx="2">
                  <c:v>0</c:v>
                </c:pt>
                <c:pt idx="3">
                  <c:v>0</c:v>
                </c:pt>
                <c:pt idx="4">
                  <c:v>0</c:v>
                </c:pt>
                <c:pt idx="5">
                  <c:v>0</c:v>
                </c:pt>
                <c:pt idx="6">
                  <c:v>0</c:v>
                </c:pt>
                <c:pt idx="7">
                  <c:v>0</c:v>
                </c:pt>
                <c:pt idx="8">
                  <c:v>0</c:v>
                </c:pt>
                <c:pt idx="9">
                  <c:v>0</c:v>
                </c:pt>
                <c:pt idx="10">
                  <c:v>38</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0-DB44-44A6-92DF-45C7A3AD0249}"/>
            </c:ext>
          </c:extLst>
        </c:ser>
        <c:ser>
          <c:idx val="0"/>
          <c:order val="1"/>
          <c:tx>
            <c:strRef>
              <c:f>'Fig A5.16 Fighter Jet (units)'!$D$6</c:f>
              <c:strCache>
                <c:ptCount val="1"/>
                <c:pt idx="0">
                  <c:v>Sondervermögen</c:v>
                </c:pt>
              </c:strCache>
            </c:strRef>
          </c:tx>
          <c:spPr>
            <a:pattFill prst="pct60">
              <a:fgClr>
                <a:schemeClr val="accent5"/>
              </a:fgClr>
              <a:bgClr>
                <a:schemeClr val="bg1"/>
              </a:bgClr>
            </a:pattFill>
            <a:ln>
              <a:solidFill>
                <a:schemeClr val="tx1"/>
              </a:solidFill>
            </a:ln>
            <a:effectLst/>
          </c:spPr>
          <c:invertIfNegative val="0"/>
          <c:cat>
            <c:numRef>
              <c:f>'Fig A5.16 Fighter Jet (units)'!$B$7:$B$61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A5.16 Fighter Jet (units)'!$D$7:$D$61</c:f>
              <c:numCache>
                <c:formatCode>_(* #,##0_);_(* \(#,##0\);_(* "-"??_);_(@_)</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35</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1-DB44-44A6-92DF-45C7A3AD0249}"/>
            </c:ext>
          </c:extLst>
        </c:ser>
        <c:dLbls>
          <c:showLegendKey val="0"/>
          <c:showVal val="0"/>
          <c:showCatName val="0"/>
          <c:showSerName val="0"/>
          <c:showPercent val="0"/>
          <c:showBubbleSize val="0"/>
        </c:dLbls>
        <c:gapWidth val="50"/>
        <c:overlap val="100"/>
        <c:axId val="112003664"/>
        <c:axId val="112001744"/>
      </c:barChart>
      <c:dateAx>
        <c:axId val="112003664"/>
        <c:scaling>
          <c:orientation val="minMax"/>
        </c:scaling>
        <c:delete val="0"/>
        <c:axPos val="b"/>
        <c:numFmt formatCode="mmm\-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1744"/>
        <c:crosses val="autoZero"/>
        <c:auto val="1"/>
        <c:lblOffset val="100"/>
        <c:baseTimeUnit val="months"/>
      </c:dateAx>
      <c:valAx>
        <c:axId val="112001744"/>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3664"/>
        <c:crosses val="autoZero"/>
        <c:crossBetween val="between"/>
      </c:valAx>
      <c:spPr>
        <a:noFill/>
        <a:ln>
          <a:noFill/>
        </a:ln>
        <a:effectLst/>
      </c:spPr>
    </c:plotArea>
    <c:legend>
      <c:legendPos val="r"/>
      <c:layout>
        <c:manualLayout>
          <c:xMode val="edge"/>
          <c:yMode val="edge"/>
          <c:x val="3.9060304488454087E-2"/>
          <c:y val="0.28530589443263704"/>
          <c:w val="0.152583992815292"/>
          <c:h val="0.23987644380362086"/>
        </c:manualLayout>
      </c:layout>
      <c:overlay val="0"/>
      <c:spPr>
        <a:solidFill>
          <a:sysClr val="window" lastClr="FFFFFF"/>
        </a:solidFill>
        <a:ln>
          <a:noFill/>
        </a:ln>
        <a:effectLst/>
      </c:spPr>
      <c:txPr>
        <a:bodyPr rot="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0286054046798872E-2"/>
          <c:y val="9.6006817453829219E-2"/>
          <c:w val="0.92853215611846474"/>
          <c:h val="0.79859336911864642"/>
        </c:manualLayout>
      </c:layout>
      <c:barChart>
        <c:barDir val="col"/>
        <c:grouping val="stacked"/>
        <c:varyColors val="0"/>
        <c:ser>
          <c:idx val="1"/>
          <c:order val="0"/>
          <c:tx>
            <c:strRef>
              <c:f>'Fig A5.17 Aircraft Develop. (€)'!$C$6</c:f>
              <c:strCache>
                <c:ptCount val="1"/>
                <c:pt idx="0">
                  <c:v>Orders</c:v>
                </c:pt>
              </c:strCache>
            </c:strRef>
          </c:tx>
          <c:spPr>
            <a:solidFill>
              <a:schemeClr val="accent1"/>
            </a:solidFill>
            <a:ln>
              <a:solidFill>
                <a:schemeClr val="tx1"/>
              </a:solidFill>
            </a:ln>
            <a:effectLst/>
          </c:spPr>
          <c:invertIfNegative val="0"/>
          <c:cat>
            <c:numRef>
              <c:f>'Fig A5.17 Aircraft Develop. (€)'!$B$7:$B$61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A5.17 Aircraft Develop. (€)'!$C$7:$C$61</c:f>
              <c:numCache>
                <c:formatCode>_(* #,##0.00_);_(* \(#,##0.00\);_(* "-"??_);_(@_)</c:formatCode>
                <c:ptCount val="55"/>
                <c:pt idx="0">
                  <c:v>0</c:v>
                </c:pt>
                <c:pt idx="1">
                  <c:v>0</c:v>
                </c:pt>
                <c:pt idx="2">
                  <c:v>0</c:v>
                </c:pt>
                <c:pt idx="3">
                  <c:v>0</c:v>
                </c:pt>
                <c:pt idx="4">
                  <c:v>0</c:v>
                </c:pt>
                <c:pt idx="5">
                  <c:v>2.8</c:v>
                </c:pt>
                <c:pt idx="6">
                  <c:v>0</c:v>
                </c:pt>
                <c:pt idx="7">
                  <c:v>0</c:v>
                </c:pt>
                <c:pt idx="8">
                  <c:v>0.21299999999999999</c:v>
                </c:pt>
                <c:pt idx="9">
                  <c:v>0</c:v>
                </c:pt>
                <c:pt idx="10">
                  <c:v>5.5</c:v>
                </c:pt>
                <c:pt idx="11">
                  <c:v>0</c:v>
                </c:pt>
                <c:pt idx="12">
                  <c:v>0</c:v>
                </c:pt>
                <c:pt idx="13">
                  <c:v>0</c:v>
                </c:pt>
                <c:pt idx="14">
                  <c:v>0</c:v>
                </c:pt>
                <c:pt idx="15">
                  <c:v>0.105</c:v>
                </c:pt>
                <c:pt idx="16">
                  <c:v>0</c:v>
                </c:pt>
                <c:pt idx="17">
                  <c:v>1.8129999999999999</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8.3000000000000007</c:v>
                </c:pt>
                <c:pt idx="36">
                  <c:v>0</c:v>
                </c:pt>
                <c:pt idx="37">
                  <c:v>0</c:v>
                </c:pt>
                <c:pt idx="38">
                  <c:v>0</c:v>
                </c:pt>
                <c:pt idx="39">
                  <c:v>0</c:v>
                </c:pt>
                <c:pt idx="40">
                  <c:v>0</c:v>
                </c:pt>
                <c:pt idx="41">
                  <c:v>0</c:v>
                </c:pt>
                <c:pt idx="42">
                  <c:v>0</c:v>
                </c:pt>
                <c:pt idx="43">
                  <c:v>0</c:v>
                </c:pt>
                <c:pt idx="44">
                  <c:v>0</c:v>
                </c:pt>
                <c:pt idx="45">
                  <c:v>0</c:v>
                </c:pt>
                <c:pt idx="46">
                  <c:v>4.9299999999999997E-2</c:v>
                </c:pt>
                <c:pt idx="47">
                  <c:v>0</c:v>
                </c:pt>
                <c:pt idx="48">
                  <c:v>0</c:v>
                </c:pt>
                <c:pt idx="49">
                  <c:v>0</c:v>
                </c:pt>
                <c:pt idx="50">
                  <c:v>0</c:v>
                </c:pt>
                <c:pt idx="51">
                  <c:v>4.2999999999999997E-2</c:v>
                </c:pt>
                <c:pt idx="52">
                  <c:v>0</c:v>
                </c:pt>
                <c:pt idx="53">
                  <c:v>6.6000000000000003E-2</c:v>
                </c:pt>
                <c:pt idx="54">
                  <c:v>0</c:v>
                </c:pt>
              </c:numCache>
            </c:numRef>
          </c:val>
          <c:extLst>
            <c:ext xmlns:c16="http://schemas.microsoft.com/office/drawing/2014/chart" uri="{C3380CC4-5D6E-409C-BE32-E72D297353CC}">
              <c16:uniqueId val="{00000000-1BF7-42FB-A6BA-2D7984992BA2}"/>
            </c:ext>
          </c:extLst>
        </c:ser>
        <c:ser>
          <c:idx val="0"/>
          <c:order val="1"/>
          <c:tx>
            <c:strRef>
              <c:f>'Fig A5.17 Aircraft Develop. (€)'!$D$6</c:f>
              <c:strCache>
                <c:ptCount val="1"/>
                <c:pt idx="0">
                  <c:v>Development</c:v>
                </c:pt>
              </c:strCache>
            </c:strRef>
          </c:tx>
          <c:spPr>
            <a:pattFill prst="pct90">
              <a:fgClr>
                <a:schemeClr val="accent2"/>
              </a:fgClr>
              <a:bgClr>
                <a:schemeClr val="bg1"/>
              </a:bgClr>
            </a:pattFill>
            <a:ln>
              <a:solidFill>
                <a:schemeClr val="tx1"/>
              </a:solidFill>
            </a:ln>
            <a:effectLst/>
          </c:spPr>
          <c:invertIfNegative val="0"/>
          <c:cat>
            <c:numRef>
              <c:f>'Fig A5.17 Aircraft Develop. (€)'!$B$7:$B$61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A5.17 Aircraft Develop. (€)'!$D$7:$D$61</c:f>
              <c:numCache>
                <c:formatCode>_(* #,##0.00_);_(* \(#,##0.00\);_(* "-"??_);_(@_)</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4.4000000000000004</c:v>
                </c:pt>
                <c:pt idx="18">
                  <c:v>0</c:v>
                </c:pt>
                <c:pt idx="19">
                  <c:v>0</c:v>
                </c:pt>
                <c:pt idx="20">
                  <c:v>0</c:v>
                </c:pt>
                <c:pt idx="21">
                  <c:v>0</c:v>
                </c:pt>
                <c:pt idx="22">
                  <c:v>0</c:v>
                </c:pt>
                <c:pt idx="23">
                  <c:v>0</c:v>
                </c:pt>
                <c:pt idx="24">
                  <c:v>0</c:v>
                </c:pt>
                <c:pt idx="25">
                  <c:v>0</c:v>
                </c:pt>
                <c:pt idx="26">
                  <c:v>0</c:v>
                </c:pt>
                <c:pt idx="27">
                  <c:v>0</c:v>
                </c:pt>
                <c:pt idx="28">
                  <c:v>0</c:v>
                </c:pt>
                <c:pt idx="29">
                  <c:v>0</c:v>
                </c:pt>
                <c:pt idx="30">
                  <c:v>0.24199999999999999</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0.19769999999999999</c:v>
                </c:pt>
                <c:pt idx="45">
                  <c:v>0</c:v>
                </c:pt>
                <c:pt idx="46">
                  <c:v>0</c:v>
                </c:pt>
                <c:pt idx="47">
                  <c:v>0</c:v>
                </c:pt>
                <c:pt idx="48">
                  <c:v>0</c:v>
                </c:pt>
                <c:pt idx="49">
                  <c:v>0</c:v>
                </c:pt>
                <c:pt idx="50">
                  <c:v>0.10199999999999999</c:v>
                </c:pt>
                <c:pt idx="51">
                  <c:v>9.7000000000000003E-2</c:v>
                </c:pt>
                <c:pt idx="52">
                  <c:v>0</c:v>
                </c:pt>
                <c:pt idx="53">
                  <c:v>0</c:v>
                </c:pt>
                <c:pt idx="54">
                  <c:v>0</c:v>
                </c:pt>
              </c:numCache>
            </c:numRef>
          </c:val>
          <c:extLst>
            <c:ext xmlns:c16="http://schemas.microsoft.com/office/drawing/2014/chart" uri="{C3380CC4-5D6E-409C-BE32-E72D297353CC}">
              <c16:uniqueId val="{00000001-1BF7-42FB-A6BA-2D7984992BA2}"/>
            </c:ext>
          </c:extLst>
        </c:ser>
        <c:dLbls>
          <c:showLegendKey val="0"/>
          <c:showVal val="0"/>
          <c:showCatName val="0"/>
          <c:showSerName val="0"/>
          <c:showPercent val="0"/>
          <c:showBubbleSize val="0"/>
        </c:dLbls>
        <c:gapWidth val="50"/>
        <c:overlap val="100"/>
        <c:axId val="112003664"/>
        <c:axId val="112001744"/>
      </c:barChart>
      <c:dateAx>
        <c:axId val="112003664"/>
        <c:scaling>
          <c:orientation val="minMax"/>
        </c:scaling>
        <c:delete val="0"/>
        <c:axPos val="b"/>
        <c:numFmt formatCode="mmm\-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1744"/>
        <c:crosses val="autoZero"/>
        <c:auto val="1"/>
        <c:lblOffset val="100"/>
        <c:baseTimeUnit val="months"/>
      </c:dateAx>
      <c:valAx>
        <c:axId val="112001744"/>
        <c:scaling>
          <c:orientation val="minMax"/>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3664"/>
        <c:crosses val="autoZero"/>
        <c:crossBetween val="between"/>
      </c:valAx>
      <c:spPr>
        <a:solidFill>
          <a:sysClr val="window" lastClr="FFFFFF"/>
        </a:solidFill>
        <a:ln>
          <a:noFill/>
        </a:ln>
        <a:effectLst/>
      </c:spPr>
    </c:plotArea>
    <c:legend>
      <c:legendPos val="r"/>
      <c:layout>
        <c:manualLayout>
          <c:xMode val="edge"/>
          <c:yMode val="edge"/>
          <c:x val="4.958020162252446E-2"/>
          <c:y val="0.27126576517602763"/>
          <c:w val="0.12843344865982659"/>
          <c:h val="0.28094884071795062"/>
        </c:manualLayout>
      </c:layout>
      <c:overlay val="0"/>
      <c:spPr>
        <a:solidFill>
          <a:sysClr val="window" lastClr="FFFFFF"/>
        </a:solidFill>
        <a:ln>
          <a:noFill/>
        </a:ln>
        <a:effectLst/>
      </c:spPr>
      <c:txPr>
        <a:bodyPr rot="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0286054046798872E-2"/>
          <c:y val="9.6006817453829219E-2"/>
          <c:w val="0.92853215611846474"/>
          <c:h val="0.80393513310836129"/>
        </c:manualLayout>
      </c:layout>
      <c:barChart>
        <c:barDir val="col"/>
        <c:grouping val="stacked"/>
        <c:varyColors val="0"/>
        <c:ser>
          <c:idx val="0"/>
          <c:order val="0"/>
          <c:tx>
            <c:strRef>
              <c:f>'Fig A6.1 Land Forces by Fund'!$C$6</c:f>
              <c:strCache>
                <c:ptCount val="1"/>
                <c:pt idx="0">
                  <c:v>Einzelplan 14</c:v>
                </c:pt>
              </c:strCache>
            </c:strRef>
          </c:tx>
          <c:spPr>
            <a:solidFill>
              <a:schemeClr val="accent1"/>
            </a:solidFill>
            <a:ln>
              <a:solidFill>
                <a:schemeClr val="tx1"/>
              </a:solidFill>
            </a:ln>
            <a:effectLst/>
          </c:spPr>
          <c:invertIfNegative val="0"/>
          <c:cat>
            <c:numRef>
              <c:f>'Fig A6.1 Land Forces by Fund'!$B$7:$B$61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A6.1 Land Forces by Fund'!$C$7:$C$61</c:f>
              <c:numCache>
                <c:formatCode>_(* #,##0.00_);_(* \(#,##0.00\);_(* "-"??_);_(@_)</c:formatCode>
                <c:ptCount val="55"/>
                <c:pt idx="0">
                  <c:v>0</c:v>
                </c:pt>
                <c:pt idx="1">
                  <c:v>0</c:v>
                </c:pt>
                <c:pt idx="2">
                  <c:v>0</c:v>
                </c:pt>
                <c:pt idx="3">
                  <c:v>0</c:v>
                </c:pt>
                <c:pt idx="4">
                  <c:v>0.03</c:v>
                </c:pt>
                <c:pt idx="5">
                  <c:v>0</c:v>
                </c:pt>
                <c:pt idx="6">
                  <c:v>0</c:v>
                </c:pt>
                <c:pt idx="7">
                  <c:v>0</c:v>
                </c:pt>
                <c:pt idx="8">
                  <c:v>0</c:v>
                </c:pt>
                <c:pt idx="9">
                  <c:v>0</c:v>
                </c:pt>
                <c:pt idx="10">
                  <c:v>0.20599999999999999</c:v>
                </c:pt>
                <c:pt idx="11">
                  <c:v>0</c:v>
                </c:pt>
                <c:pt idx="12">
                  <c:v>0</c:v>
                </c:pt>
                <c:pt idx="13">
                  <c:v>8.7999999999999995E-2</c:v>
                </c:pt>
                <c:pt idx="14">
                  <c:v>0</c:v>
                </c:pt>
                <c:pt idx="15">
                  <c:v>3.4580000000000002</c:v>
                </c:pt>
                <c:pt idx="16">
                  <c:v>0</c:v>
                </c:pt>
                <c:pt idx="17">
                  <c:v>1.32</c:v>
                </c:pt>
                <c:pt idx="18">
                  <c:v>0</c:v>
                </c:pt>
                <c:pt idx="19">
                  <c:v>0</c:v>
                </c:pt>
                <c:pt idx="20">
                  <c:v>0</c:v>
                </c:pt>
                <c:pt idx="21">
                  <c:v>0</c:v>
                </c:pt>
                <c:pt idx="22">
                  <c:v>0</c:v>
                </c:pt>
                <c:pt idx="23">
                  <c:v>0</c:v>
                </c:pt>
                <c:pt idx="24">
                  <c:v>0</c:v>
                </c:pt>
                <c:pt idx="25">
                  <c:v>0</c:v>
                </c:pt>
                <c:pt idx="26">
                  <c:v>0</c:v>
                </c:pt>
                <c:pt idx="27">
                  <c:v>0.15</c:v>
                </c:pt>
                <c:pt idx="28">
                  <c:v>0</c:v>
                </c:pt>
                <c:pt idx="29">
                  <c:v>0</c:v>
                </c:pt>
                <c:pt idx="30">
                  <c:v>4.2099999999999999E-2</c:v>
                </c:pt>
                <c:pt idx="31">
                  <c:v>0</c:v>
                </c:pt>
                <c:pt idx="32">
                  <c:v>0</c:v>
                </c:pt>
                <c:pt idx="33">
                  <c:v>9.74E-2</c:v>
                </c:pt>
                <c:pt idx="34">
                  <c:v>0</c:v>
                </c:pt>
                <c:pt idx="35">
                  <c:v>0.20899999999999999</c:v>
                </c:pt>
                <c:pt idx="36">
                  <c:v>0</c:v>
                </c:pt>
                <c:pt idx="37">
                  <c:v>0</c:v>
                </c:pt>
                <c:pt idx="38">
                  <c:v>0.19620000000000001</c:v>
                </c:pt>
                <c:pt idx="39">
                  <c:v>0</c:v>
                </c:pt>
                <c:pt idx="40">
                  <c:v>0</c:v>
                </c:pt>
                <c:pt idx="41">
                  <c:v>0</c:v>
                </c:pt>
                <c:pt idx="42">
                  <c:v>0.22589999999999999</c:v>
                </c:pt>
                <c:pt idx="43">
                  <c:v>0</c:v>
                </c:pt>
                <c:pt idx="44">
                  <c:v>0.23860000000000001</c:v>
                </c:pt>
                <c:pt idx="45">
                  <c:v>5.2499999999999998E-2</c:v>
                </c:pt>
                <c:pt idx="46">
                  <c:v>5.8999999999999997E-2</c:v>
                </c:pt>
                <c:pt idx="47">
                  <c:v>3.49E-2</c:v>
                </c:pt>
                <c:pt idx="48">
                  <c:v>0</c:v>
                </c:pt>
                <c:pt idx="49">
                  <c:v>0</c:v>
                </c:pt>
                <c:pt idx="50">
                  <c:v>0</c:v>
                </c:pt>
                <c:pt idx="51">
                  <c:v>0</c:v>
                </c:pt>
                <c:pt idx="52">
                  <c:v>0</c:v>
                </c:pt>
                <c:pt idx="53">
                  <c:v>0.105</c:v>
                </c:pt>
                <c:pt idx="54">
                  <c:v>1.05</c:v>
                </c:pt>
              </c:numCache>
            </c:numRef>
          </c:val>
          <c:extLst>
            <c:ext xmlns:c16="http://schemas.microsoft.com/office/drawing/2014/chart" uri="{C3380CC4-5D6E-409C-BE32-E72D297353CC}">
              <c16:uniqueId val="{00000001-53AE-43DA-A8F3-E15ADF763821}"/>
            </c:ext>
          </c:extLst>
        </c:ser>
        <c:ser>
          <c:idx val="1"/>
          <c:order val="1"/>
          <c:tx>
            <c:strRef>
              <c:f>'Fig A6.1 Land Forces by Fund'!$D$6</c:f>
              <c:strCache>
                <c:ptCount val="1"/>
                <c:pt idx="0">
                  <c:v>Sondervermögen</c:v>
                </c:pt>
              </c:strCache>
            </c:strRef>
          </c:tx>
          <c:spPr>
            <a:pattFill prst="pct60">
              <a:fgClr>
                <a:schemeClr val="accent5"/>
              </a:fgClr>
              <a:bgClr>
                <a:schemeClr val="bg1"/>
              </a:bgClr>
            </a:pattFill>
            <a:ln>
              <a:solidFill>
                <a:schemeClr val="tx1"/>
              </a:solidFill>
            </a:ln>
            <a:effectLst/>
          </c:spPr>
          <c:invertIfNegative val="0"/>
          <c:cat>
            <c:numRef>
              <c:f>'Fig A6.1 Land Forces by Fund'!$B$7:$B$61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A6.1 Land Forces by Fund'!$D$7:$D$61</c:f>
              <c:numCache>
                <c:formatCode>_(* #,##0.00_);_(* \(#,##0.00\);_(* "-"??_);_(@_)</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1.2549999999999999</c:v>
                </c:pt>
                <c:pt idx="36">
                  <c:v>0</c:v>
                </c:pt>
                <c:pt idx="37">
                  <c:v>0</c:v>
                </c:pt>
                <c:pt idx="38">
                  <c:v>0.91900000000000004</c:v>
                </c:pt>
                <c:pt idx="39">
                  <c:v>0</c:v>
                </c:pt>
                <c:pt idx="40">
                  <c:v>1.087</c:v>
                </c:pt>
                <c:pt idx="41">
                  <c:v>0.95</c:v>
                </c:pt>
                <c:pt idx="42">
                  <c:v>7.85</c:v>
                </c:pt>
                <c:pt idx="43">
                  <c:v>0</c:v>
                </c:pt>
                <c:pt idx="44">
                  <c:v>0</c:v>
                </c:pt>
                <c:pt idx="45">
                  <c:v>4.0404999999999998</c:v>
                </c:pt>
                <c:pt idx="46">
                  <c:v>0.192</c:v>
                </c:pt>
                <c:pt idx="47">
                  <c:v>5.0940000000000003</c:v>
                </c:pt>
                <c:pt idx="48">
                  <c:v>1.23</c:v>
                </c:pt>
                <c:pt idx="49">
                  <c:v>0.64900000000000002</c:v>
                </c:pt>
                <c:pt idx="50">
                  <c:v>2.64</c:v>
                </c:pt>
                <c:pt idx="51">
                  <c:v>0.44700000000000001</c:v>
                </c:pt>
                <c:pt idx="52">
                  <c:v>0</c:v>
                </c:pt>
                <c:pt idx="53">
                  <c:v>1.19</c:v>
                </c:pt>
                <c:pt idx="54">
                  <c:v>4.2</c:v>
                </c:pt>
              </c:numCache>
            </c:numRef>
          </c:val>
          <c:extLst>
            <c:ext xmlns:c16="http://schemas.microsoft.com/office/drawing/2014/chart" uri="{C3380CC4-5D6E-409C-BE32-E72D297353CC}">
              <c16:uniqueId val="{00000002-53AE-43DA-A8F3-E15ADF763821}"/>
            </c:ext>
          </c:extLst>
        </c:ser>
        <c:ser>
          <c:idx val="2"/>
          <c:order val="2"/>
          <c:tx>
            <c:strRef>
              <c:f>'Fig A6.1 Land Forces by Fund'!$E$6</c:f>
              <c:strCache>
                <c:ptCount val="1"/>
                <c:pt idx="0">
                  <c:v>Einzelplan 60</c:v>
                </c:pt>
              </c:strCache>
            </c:strRef>
          </c:tx>
          <c:spPr>
            <a:pattFill prst="dkDnDiag">
              <a:fgClr>
                <a:schemeClr val="accent6"/>
              </a:fgClr>
              <a:bgClr>
                <a:schemeClr val="bg1"/>
              </a:bgClr>
            </a:pattFill>
            <a:ln>
              <a:solidFill>
                <a:schemeClr val="tx1"/>
              </a:solidFill>
            </a:ln>
            <a:effectLst/>
          </c:spPr>
          <c:invertIfNegative val="0"/>
          <c:cat>
            <c:numRef>
              <c:f>'Fig A6.1 Land Forces by Fund'!$B$7:$B$61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A6.1 Land Forces by Fund'!$E$7:$E$61</c:f>
              <c:numCache>
                <c:formatCode>_(* #,##0.00_);_(* \(#,##0.00\);_(* "-"??_);_(@_)</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0.16800000000000001</c:v>
                </c:pt>
                <c:pt idx="38">
                  <c:v>0.184</c:v>
                </c:pt>
                <c:pt idx="39">
                  <c:v>0</c:v>
                </c:pt>
                <c:pt idx="40">
                  <c:v>0.71630000000000005</c:v>
                </c:pt>
                <c:pt idx="41">
                  <c:v>0</c:v>
                </c:pt>
                <c:pt idx="42">
                  <c:v>0.50900000000000001</c:v>
                </c:pt>
                <c:pt idx="43">
                  <c:v>0</c:v>
                </c:pt>
                <c:pt idx="44">
                  <c:v>0</c:v>
                </c:pt>
                <c:pt idx="45">
                  <c:v>6.8000000000000005E-2</c:v>
                </c:pt>
                <c:pt idx="46">
                  <c:v>0.15</c:v>
                </c:pt>
                <c:pt idx="47">
                  <c:v>0.88</c:v>
                </c:pt>
                <c:pt idx="48">
                  <c:v>0</c:v>
                </c:pt>
                <c:pt idx="49">
                  <c:v>0</c:v>
                </c:pt>
                <c:pt idx="50">
                  <c:v>0.7</c:v>
                </c:pt>
                <c:pt idx="51">
                  <c:v>0</c:v>
                </c:pt>
                <c:pt idx="52">
                  <c:v>0</c:v>
                </c:pt>
                <c:pt idx="53">
                  <c:v>0.39500000000000002</c:v>
                </c:pt>
                <c:pt idx="54">
                  <c:v>1.002</c:v>
                </c:pt>
              </c:numCache>
            </c:numRef>
          </c:val>
          <c:extLst>
            <c:ext xmlns:c16="http://schemas.microsoft.com/office/drawing/2014/chart" uri="{C3380CC4-5D6E-409C-BE32-E72D297353CC}">
              <c16:uniqueId val="{00000003-53AE-43DA-A8F3-E15ADF763821}"/>
            </c:ext>
          </c:extLst>
        </c:ser>
        <c:dLbls>
          <c:showLegendKey val="0"/>
          <c:showVal val="0"/>
          <c:showCatName val="0"/>
          <c:showSerName val="0"/>
          <c:showPercent val="0"/>
          <c:showBubbleSize val="0"/>
        </c:dLbls>
        <c:gapWidth val="50"/>
        <c:overlap val="100"/>
        <c:axId val="112003664"/>
        <c:axId val="112001744"/>
      </c:barChart>
      <c:dateAx>
        <c:axId val="112003664"/>
        <c:scaling>
          <c:orientation val="minMax"/>
        </c:scaling>
        <c:delete val="0"/>
        <c:axPos val="b"/>
        <c:numFmt formatCode="mmm\-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1744"/>
        <c:crosses val="autoZero"/>
        <c:auto val="1"/>
        <c:lblOffset val="100"/>
        <c:baseTimeUnit val="months"/>
      </c:dateAx>
      <c:valAx>
        <c:axId val="112001744"/>
        <c:scaling>
          <c:orientation val="minMax"/>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3664"/>
        <c:crosses val="autoZero"/>
        <c:crossBetween val="between"/>
      </c:valAx>
      <c:spPr>
        <a:noFill/>
        <a:ln>
          <a:noFill/>
        </a:ln>
        <a:effectLst/>
      </c:spPr>
    </c:plotArea>
    <c:legend>
      <c:legendPos val="r"/>
      <c:layout>
        <c:manualLayout>
          <c:xMode val="edge"/>
          <c:yMode val="edge"/>
          <c:x val="6.2206464248787084E-2"/>
          <c:y val="0.2457583427071616"/>
          <c:w val="0.14231098716827065"/>
          <c:h val="0.28459598800149982"/>
        </c:manualLayout>
      </c:layout>
      <c:overlay val="0"/>
      <c:spPr>
        <a:solidFill>
          <a:sysClr val="window" lastClr="FFFFFF"/>
        </a:solidFill>
        <a:ln>
          <a:noFill/>
        </a:ln>
        <a:effectLst/>
      </c:spPr>
      <c:txPr>
        <a:bodyPr rot="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3686195286195286E-2"/>
          <c:y val="3.9247243347433826E-2"/>
          <c:w val="0.92101262626262625"/>
          <c:h val="0.78738954954057649"/>
        </c:manualLayout>
      </c:layout>
      <c:barChart>
        <c:barDir val="col"/>
        <c:grouping val="stacked"/>
        <c:varyColors val="0"/>
        <c:ser>
          <c:idx val="0"/>
          <c:order val="0"/>
          <c:tx>
            <c:strRef>
              <c:f>'Fig 5.3 Orders by Origin'!$C$6</c:f>
              <c:strCache>
                <c:ptCount val="1"/>
                <c:pt idx="0">
                  <c:v>Germany only</c:v>
                </c:pt>
              </c:strCache>
            </c:strRef>
          </c:tx>
          <c:spPr>
            <a:solidFill>
              <a:schemeClr val="accent1"/>
            </a:solidFill>
            <a:ln>
              <a:solidFill>
                <a:schemeClr val="tx1"/>
              </a:solidFill>
            </a:ln>
            <a:effectLst/>
          </c:spPr>
          <c:invertIfNegative val="0"/>
          <c:cat>
            <c:numRef>
              <c:f>'Fig 5.3 Orders by Origin'!$B$7:$B$61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5.3 Orders by Origin'!$C$7:$C$61</c:f>
              <c:numCache>
                <c:formatCode>_(* #,##0.00_);_(* \(#,##0.00\);_(* "-"??_);_(@_)</c:formatCode>
                <c:ptCount val="55"/>
                <c:pt idx="0">
                  <c:v>0</c:v>
                </c:pt>
                <c:pt idx="1">
                  <c:v>0</c:v>
                </c:pt>
                <c:pt idx="2">
                  <c:v>0</c:v>
                </c:pt>
                <c:pt idx="3">
                  <c:v>0</c:v>
                </c:pt>
                <c:pt idx="4">
                  <c:v>0</c:v>
                </c:pt>
                <c:pt idx="5">
                  <c:v>4.5999999999999996</c:v>
                </c:pt>
                <c:pt idx="6">
                  <c:v>0</c:v>
                </c:pt>
                <c:pt idx="7">
                  <c:v>0.35</c:v>
                </c:pt>
                <c:pt idx="8">
                  <c:v>1.88</c:v>
                </c:pt>
                <c:pt idx="9">
                  <c:v>0.04</c:v>
                </c:pt>
                <c:pt idx="10">
                  <c:v>0.80600000000000005</c:v>
                </c:pt>
                <c:pt idx="11">
                  <c:v>0.45</c:v>
                </c:pt>
                <c:pt idx="12">
                  <c:v>0</c:v>
                </c:pt>
                <c:pt idx="13">
                  <c:v>0</c:v>
                </c:pt>
                <c:pt idx="14">
                  <c:v>0</c:v>
                </c:pt>
                <c:pt idx="15">
                  <c:v>0.29499999999999998</c:v>
                </c:pt>
                <c:pt idx="16">
                  <c:v>2.4020000000000001</c:v>
                </c:pt>
                <c:pt idx="17">
                  <c:v>5.7510000000000003</c:v>
                </c:pt>
                <c:pt idx="18">
                  <c:v>0</c:v>
                </c:pt>
                <c:pt idx="19">
                  <c:v>0</c:v>
                </c:pt>
                <c:pt idx="20">
                  <c:v>0</c:v>
                </c:pt>
                <c:pt idx="21">
                  <c:v>0</c:v>
                </c:pt>
                <c:pt idx="22">
                  <c:v>0</c:v>
                </c:pt>
                <c:pt idx="23">
                  <c:v>0</c:v>
                </c:pt>
                <c:pt idx="24">
                  <c:v>0</c:v>
                </c:pt>
                <c:pt idx="25">
                  <c:v>0</c:v>
                </c:pt>
                <c:pt idx="26">
                  <c:v>0</c:v>
                </c:pt>
                <c:pt idx="27">
                  <c:v>0</c:v>
                </c:pt>
                <c:pt idx="28">
                  <c:v>2.5139</c:v>
                </c:pt>
                <c:pt idx="29">
                  <c:v>0</c:v>
                </c:pt>
                <c:pt idx="30">
                  <c:v>6.9321000000000002</c:v>
                </c:pt>
                <c:pt idx="31">
                  <c:v>0</c:v>
                </c:pt>
                <c:pt idx="32">
                  <c:v>0</c:v>
                </c:pt>
                <c:pt idx="33">
                  <c:v>9.74E-2</c:v>
                </c:pt>
                <c:pt idx="34">
                  <c:v>0.05</c:v>
                </c:pt>
                <c:pt idx="35">
                  <c:v>1.179</c:v>
                </c:pt>
                <c:pt idx="36">
                  <c:v>0</c:v>
                </c:pt>
                <c:pt idx="37">
                  <c:v>0.2208</c:v>
                </c:pt>
                <c:pt idx="38">
                  <c:v>0.22600000000000001</c:v>
                </c:pt>
                <c:pt idx="39">
                  <c:v>5.0999999999999997E-2</c:v>
                </c:pt>
                <c:pt idx="40">
                  <c:v>1.8032999999999999</c:v>
                </c:pt>
                <c:pt idx="41">
                  <c:v>1.8532</c:v>
                </c:pt>
                <c:pt idx="42">
                  <c:v>2.7376</c:v>
                </c:pt>
                <c:pt idx="43">
                  <c:v>0</c:v>
                </c:pt>
                <c:pt idx="44">
                  <c:v>0.23860000000000001</c:v>
                </c:pt>
                <c:pt idx="45">
                  <c:v>0.19800000000000001</c:v>
                </c:pt>
                <c:pt idx="46">
                  <c:v>13.7913</c:v>
                </c:pt>
                <c:pt idx="47">
                  <c:v>0.13458000000000001</c:v>
                </c:pt>
                <c:pt idx="48">
                  <c:v>1.23</c:v>
                </c:pt>
                <c:pt idx="49">
                  <c:v>2.8490000000000002</c:v>
                </c:pt>
                <c:pt idx="50">
                  <c:v>2.7679</c:v>
                </c:pt>
                <c:pt idx="51">
                  <c:v>0.17599999999999999</c:v>
                </c:pt>
                <c:pt idx="52">
                  <c:v>0.32475999999999999</c:v>
                </c:pt>
                <c:pt idx="53">
                  <c:v>4.4130000000000003</c:v>
                </c:pt>
                <c:pt idx="54">
                  <c:v>4.2670000000000003</c:v>
                </c:pt>
              </c:numCache>
            </c:numRef>
          </c:val>
          <c:extLst>
            <c:ext xmlns:c16="http://schemas.microsoft.com/office/drawing/2014/chart" uri="{C3380CC4-5D6E-409C-BE32-E72D297353CC}">
              <c16:uniqueId val="{00000002-80E2-4B6D-A678-72DBA4C46D1B}"/>
            </c:ext>
          </c:extLst>
        </c:ser>
        <c:ser>
          <c:idx val="4"/>
          <c:order val="1"/>
          <c:tx>
            <c:strRef>
              <c:f>'Fig 5.3 Orders by Origin'!$D$6</c:f>
              <c:strCache>
                <c:ptCount val="1"/>
                <c:pt idx="0">
                  <c:v>Germany and foreign partnership</c:v>
                </c:pt>
              </c:strCache>
            </c:strRef>
          </c:tx>
          <c:spPr>
            <a:pattFill prst="dkDnDiag">
              <a:fgClr>
                <a:schemeClr val="accent6"/>
              </a:fgClr>
              <a:bgClr>
                <a:schemeClr val="bg1"/>
              </a:bgClr>
            </a:pattFill>
            <a:ln>
              <a:solidFill>
                <a:schemeClr val="tx1"/>
              </a:solidFill>
            </a:ln>
            <a:effectLst/>
          </c:spPr>
          <c:invertIfNegative val="0"/>
          <c:cat>
            <c:numRef>
              <c:f>'Fig 5.3 Orders by Origin'!$B$7:$B$61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5.3 Orders by Origin'!$D$7:$D$61</c:f>
              <c:numCache>
                <c:formatCode>_(* #,##0.00_);_(* \(#,##0.00\);_(* "-"??_);_(@_)</c:formatCode>
                <c:ptCount val="55"/>
                <c:pt idx="0">
                  <c:v>0</c:v>
                </c:pt>
                <c:pt idx="1">
                  <c:v>0</c:v>
                </c:pt>
                <c:pt idx="2">
                  <c:v>0</c:v>
                </c:pt>
                <c:pt idx="3">
                  <c:v>0</c:v>
                </c:pt>
                <c:pt idx="4">
                  <c:v>0.03</c:v>
                </c:pt>
                <c:pt idx="5">
                  <c:v>8.4</c:v>
                </c:pt>
                <c:pt idx="6">
                  <c:v>0</c:v>
                </c:pt>
                <c:pt idx="7">
                  <c:v>0</c:v>
                </c:pt>
                <c:pt idx="8">
                  <c:v>0.504</c:v>
                </c:pt>
                <c:pt idx="9">
                  <c:v>0</c:v>
                </c:pt>
                <c:pt idx="10">
                  <c:v>8.1999999999999993</c:v>
                </c:pt>
                <c:pt idx="11">
                  <c:v>0</c:v>
                </c:pt>
                <c:pt idx="12">
                  <c:v>0</c:v>
                </c:pt>
                <c:pt idx="13">
                  <c:v>8.7999999999999995E-2</c:v>
                </c:pt>
                <c:pt idx="14">
                  <c:v>0</c:v>
                </c:pt>
                <c:pt idx="15">
                  <c:v>3.3460000000000001</c:v>
                </c:pt>
                <c:pt idx="16">
                  <c:v>0</c:v>
                </c:pt>
                <c:pt idx="17">
                  <c:v>9.1798999999999999</c:v>
                </c:pt>
                <c:pt idx="18">
                  <c:v>0</c:v>
                </c:pt>
                <c:pt idx="19">
                  <c:v>0</c:v>
                </c:pt>
                <c:pt idx="20">
                  <c:v>0</c:v>
                </c:pt>
                <c:pt idx="21">
                  <c:v>0</c:v>
                </c:pt>
                <c:pt idx="22">
                  <c:v>0</c:v>
                </c:pt>
                <c:pt idx="23">
                  <c:v>0</c:v>
                </c:pt>
                <c:pt idx="24">
                  <c:v>0</c:v>
                </c:pt>
                <c:pt idx="25">
                  <c:v>0</c:v>
                </c:pt>
                <c:pt idx="26">
                  <c:v>0</c:v>
                </c:pt>
                <c:pt idx="27">
                  <c:v>0</c:v>
                </c:pt>
                <c:pt idx="28">
                  <c:v>0</c:v>
                </c:pt>
                <c:pt idx="29">
                  <c:v>3.5000000000000003E-2</c:v>
                </c:pt>
                <c:pt idx="30">
                  <c:v>0.24199999999999999</c:v>
                </c:pt>
                <c:pt idx="31">
                  <c:v>0</c:v>
                </c:pt>
                <c:pt idx="32">
                  <c:v>0.63700000000000001</c:v>
                </c:pt>
                <c:pt idx="33">
                  <c:v>0</c:v>
                </c:pt>
                <c:pt idx="34">
                  <c:v>2.3199999999999998E-2</c:v>
                </c:pt>
                <c:pt idx="35">
                  <c:v>0</c:v>
                </c:pt>
                <c:pt idx="36">
                  <c:v>0</c:v>
                </c:pt>
                <c:pt idx="37">
                  <c:v>0</c:v>
                </c:pt>
                <c:pt idx="38">
                  <c:v>1.1484000000000001</c:v>
                </c:pt>
                <c:pt idx="39">
                  <c:v>0.26900000000000002</c:v>
                </c:pt>
                <c:pt idx="40">
                  <c:v>0</c:v>
                </c:pt>
                <c:pt idx="41">
                  <c:v>0</c:v>
                </c:pt>
                <c:pt idx="42">
                  <c:v>2.7300000000000001E-2</c:v>
                </c:pt>
                <c:pt idx="43">
                  <c:v>0</c:v>
                </c:pt>
                <c:pt idx="44">
                  <c:v>0.19769999999999999</c:v>
                </c:pt>
                <c:pt idx="45">
                  <c:v>4</c:v>
                </c:pt>
                <c:pt idx="46">
                  <c:v>5.8999999999999997E-2</c:v>
                </c:pt>
                <c:pt idx="47">
                  <c:v>5.8388999999999998</c:v>
                </c:pt>
                <c:pt idx="48">
                  <c:v>0</c:v>
                </c:pt>
                <c:pt idx="49">
                  <c:v>0</c:v>
                </c:pt>
                <c:pt idx="50">
                  <c:v>0.26400000000000001</c:v>
                </c:pt>
                <c:pt idx="51">
                  <c:v>0.41099999999999998</c:v>
                </c:pt>
                <c:pt idx="52">
                  <c:v>0</c:v>
                </c:pt>
                <c:pt idx="53">
                  <c:v>4.1689999999999996</c:v>
                </c:pt>
                <c:pt idx="54">
                  <c:v>0</c:v>
                </c:pt>
              </c:numCache>
            </c:numRef>
          </c:val>
          <c:extLst>
            <c:ext xmlns:c16="http://schemas.microsoft.com/office/drawing/2014/chart" uri="{C3380CC4-5D6E-409C-BE32-E72D297353CC}">
              <c16:uniqueId val="{00000001-C306-4DB6-A72A-CCD9B94E1C48}"/>
            </c:ext>
          </c:extLst>
        </c:ser>
        <c:ser>
          <c:idx val="3"/>
          <c:order val="2"/>
          <c:tx>
            <c:strRef>
              <c:f>'Fig 5.3 Orders by Origin'!$E$6</c:f>
              <c:strCache>
                <c:ptCount val="1"/>
                <c:pt idx="0">
                  <c:v>European, non-Germany</c:v>
                </c:pt>
              </c:strCache>
            </c:strRef>
          </c:tx>
          <c:spPr>
            <a:pattFill prst="trellis">
              <a:fgClr>
                <a:schemeClr val="accent2"/>
              </a:fgClr>
              <a:bgClr>
                <a:schemeClr val="bg1"/>
              </a:bgClr>
            </a:pattFill>
            <a:ln>
              <a:solidFill>
                <a:schemeClr val="tx1"/>
              </a:solidFill>
            </a:ln>
            <a:effectLst/>
          </c:spPr>
          <c:invertIfNegative val="0"/>
          <c:cat>
            <c:numRef>
              <c:f>'Fig 5.3 Orders by Origin'!$B$7:$B$61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5.3 Orders by Origin'!$E$7:$E$61</c:f>
              <c:numCache>
                <c:formatCode>_(* #,##0.00_);_(* \(#,##0.00\);_(* "-"??_);_(@_)</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2.4E-2</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0.40500000000000003</c:v>
                </c:pt>
                <c:pt idx="36">
                  <c:v>0</c:v>
                </c:pt>
                <c:pt idx="37">
                  <c:v>0</c:v>
                </c:pt>
                <c:pt idx="38">
                  <c:v>0</c:v>
                </c:pt>
                <c:pt idx="39">
                  <c:v>0</c:v>
                </c:pt>
                <c:pt idx="40">
                  <c:v>0</c:v>
                </c:pt>
                <c:pt idx="41">
                  <c:v>0</c:v>
                </c:pt>
                <c:pt idx="42">
                  <c:v>0</c:v>
                </c:pt>
                <c:pt idx="43">
                  <c:v>0</c:v>
                </c:pt>
                <c:pt idx="44">
                  <c:v>0</c:v>
                </c:pt>
                <c:pt idx="45">
                  <c:v>0</c:v>
                </c:pt>
                <c:pt idx="46">
                  <c:v>0</c:v>
                </c:pt>
                <c:pt idx="47">
                  <c:v>0.27800000000000002</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0-C306-4DB6-A72A-CCD9B94E1C48}"/>
            </c:ext>
          </c:extLst>
        </c:ser>
        <c:ser>
          <c:idx val="1"/>
          <c:order val="3"/>
          <c:tx>
            <c:strRef>
              <c:f>'Fig 5.3 Orders by Origin'!$F$6</c:f>
              <c:strCache>
                <c:ptCount val="1"/>
                <c:pt idx="0">
                  <c:v>Non-European only</c:v>
                </c:pt>
              </c:strCache>
            </c:strRef>
          </c:tx>
          <c:spPr>
            <a:pattFill prst="pct60">
              <a:fgClr>
                <a:schemeClr val="accent5"/>
              </a:fgClr>
              <a:bgClr>
                <a:schemeClr val="bg1"/>
              </a:bgClr>
            </a:pattFill>
            <a:ln>
              <a:solidFill>
                <a:schemeClr val="tx1"/>
              </a:solidFill>
            </a:ln>
            <a:effectLst/>
          </c:spPr>
          <c:invertIfNegative val="0"/>
          <c:cat>
            <c:numRef>
              <c:f>'Fig 5.3 Orders by Origin'!$B$7:$B$61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5.3 Orders by Origin'!$F$7:$F$61</c:f>
              <c:numCache>
                <c:formatCode>_(* #,##0.00_);_(* \(#,##0.00\);_(* "-"??_);_(@_)</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1.1000000000000001</c:v>
                </c:pt>
                <c:pt idx="18">
                  <c:v>0</c:v>
                </c:pt>
                <c:pt idx="19">
                  <c:v>0</c:v>
                </c:pt>
                <c:pt idx="20">
                  <c:v>0</c:v>
                </c:pt>
                <c:pt idx="21">
                  <c:v>0</c:v>
                </c:pt>
                <c:pt idx="22">
                  <c:v>0</c:v>
                </c:pt>
                <c:pt idx="23">
                  <c:v>0</c:v>
                </c:pt>
                <c:pt idx="24">
                  <c:v>0</c:v>
                </c:pt>
                <c:pt idx="25">
                  <c:v>0</c:v>
                </c:pt>
                <c:pt idx="26">
                  <c:v>0</c:v>
                </c:pt>
                <c:pt idx="27">
                  <c:v>0.15</c:v>
                </c:pt>
                <c:pt idx="28">
                  <c:v>0</c:v>
                </c:pt>
                <c:pt idx="29">
                  <c:v>0.10100000000000001</c:v>
                </c:pt>
                <c:pt idx="30">
                  <c:v>0.34179999999999999</c:v>
                </c:pt>
                <c:pt idx="31">
                  <c:v>0</c:v>
                </c:pt>
                <c:pt idx="32">
                  <c:v>0</c:v>
                </c:pt>
                <c:pt idx="33">
                  <c:v>0</c:v>
                </c:pt>
                <c:pt idx="34">
                  <c:v>0</c:v>
                </c:pt>
                <c:pt idx="35">
                  <c:v>8.3000000000000007</c:v>
                </c:pt>
                <c:pt idx="36">
                  <c:v>0</c:v>
                </c:pt>
                <c:pt idx="37">
                  <c:v>0</c:v>
                </c:pt>
                <c:pt idx="38">
                  <c:v>0</c:v>
                </c:pt>
                <c:pt idx="39">
                  <c:v>0</c:v>
                </c:pt>
                <c:pt idx="40">
                  <c:v>0.18</c:v>
                </c:pt>
                <c:pt idx="41">
                  <c:v>0</c:v>
                </c:pt>
                <c:pt idx="42">
                  <c:v>6.98</c:v>
                </c:pt>
                <c:pt idx="43">
                  <c:v>0</c:v>
                </c:pt>
                <c:pt idx="44">
                  <c:v>0</c:v>
                </c:pt>
                <c:pt idx="45">
                  <c:v>9.1999999999999998E-2</c:v>
                </c:pt>
                <c:pt idx="46">
                  <c:v>1.1000000000000001</c:v>
                </c:pt>
                <c:pt idx="47">
                  <c:v>0</c:v>
                </c:pt>
                <c:pt idx="48">
                  <c:v>0</c:v>
                </c:pt>
                <c:pt idx="49">
                  <c:v>0</c:v>
                </c:pt>
                <c:pt idx="50">
                  <c:v>1.4</c:v>
                </c:pt>
                <c:pt idx="51">
                  <c:v>0</c:v>
                </c:pt>
                <c:pt idx="52">
                  <c:v>0.17799999999999999</c:v>
                </c:pt>
                <c:pt idx="53">
                  <c:v>0.62</c:v>
                </c:pt>
                <c:pt idx="54">
                  <c:v>1.6</c:v>
                </c:pt>
              </c:numCache>
            </c:numRef>
          </c:val>
          <c:extLst>
            <c:ext xmlns:c16="http://schemas.microsoft.com/office/drawing/2014/chart" uri="{C3380CC4-5D6E-409C-BE32-E72D297353CC}">
              <c16:uniqueId val="{00000000-CB53-4D13-84B5-2584AD1C6D70}"/>
            </c:ext>
          </c:extLst>
        </c:ser>
        <c:dLbls>
          <c:showLegendKey val="0"/>
          <c:showVal val="0"/>
          <c:showCatName val="0"/>
          <c:showSerName val="0"/>
          <c:showPercent val="0"/>
          <c:showBubbleSize val="0"/>
        </c:dLbls>
        <c:gapWidth val="50"/>
        <c:overlap val="100"/>
        <c:axId val="112003664"/>
        <c:axId val="112001744"/>
      </c:barChart>
      <c:dateAx>
        <c:axId val="112003664"/>
        <c:scaling>
          <c:orientation val="minMax"/>
        </c:scaling>
        <c:delete val="0"/>
        <c:axPos val="b"/>
        <c:numFmt formatCode="mmm\-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1744"/>
        <c:crosses val="autoZero"/>
        <c:auto val="1"/>
        <c:lblOffset val="100"/>
        <c:baseTimeUnit val="months"/>
      </c:dateAx>
      <c:valAx>
        <c:axId val="112001744"/>
        <c:scaling>
          <c:orientation val="minMax"/>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3664"/>
        <c:crosses val="autoZero"/>
        <c:crossBetween val="between"/>
      </c:valAx>
      <c:spPr>
        <a:noFill/>
        <a:ln>
          <a:noFill/>
        </a:ln>
        <a:effectLst/>
      </c:spPr>
    </c:plotArea>
    <c:legend>
      <c:legendPos val="r"/>
      <c:layout>
        <c:manualLayout>
          <c:xMode val="edge"/>
          <c:yMode val="edge"/>
          <c:x val="0.5482081566727236"/>
          <c:y val="6.5193534360052416E-2"/>
          <c:w val="0.28284935773318376"/>
          <c:h val="0.23108187161944446"/>
        </c:manualLayout>
      </c:layout>
      <c:overlay val="0"/>
      <c:spPr>
        <a:solidFill>
          <a:sysClr val="window" lastClr="FFFFFF"/>
        </a:solidFill>
        <a:ln>
          <a:noFill/>
        </a:ln>
        <a:effectLst/>
      </c:spPr>
      <c:txPr>
        <a:bodyPr rot="0" spcFirstLastPara="1" vertOverflow="ellipsis" vert="horz" wrap="square" anchor="ctr" anchorCtr="1"/>
        <a:lstStyle/>
        <a:p>
          <a:pPr>
            <a:defRPr sz="1600" b="0" i="0" u="none" strike="noStrike" kern="1200"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7635229613893565E-2"/>
          <c:y val="3.5565538633689595E-2"/>
          <c:w val="0.91267571868477071"/>
          <c:h val="0.89522527735151314"/>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1"/>
              </a:solidFill>
              <a:ln>
                <a:solidFill>
                  <a:schemeClr val="tx1"/>
                </a:solidFill>
              </a:ln>
              <a:effectLst/>
            </c:spPr>
            <c:extLst>
              <c:ext xmlns:c16="http://schemas.microsoft.com/office/drawing/2014/chart" uri="{C3380CC4-5D6E-409C-BE32-E72D297353CC}">
                <c16:uniqueId val="{00000001-88F0-41D4-AA3A-F3BC488FF054}"/>
              </c:ext>
            </c:extLst>
          </c:dPt>
          <c:dPt>
            <c:idx val="1"/>
            <c:invertIfNegative val="0"/>
            <c:bubble3D val="0"/>
            <c:spPr>
              <a:solidFill>
                <a:schemeClr val="accent1"/>
              </a:solidFill>
              <a:ln>
                <a:solidFill>
                  <a:schemeClr val="tx1">
                    <a:alpha val="95000"/>
                  </a:schemeClr>
                </a:solidFill>
              </a:ln>
              <a:effectLst/>
            </c:spPr>
            <c:extLst>
              <c:ext xmlns:c16="http://schemas.microsoft.com/office/drawing/2014/chart" uri="{C3380CC4-5D6E-409C-BE32-E72D297353CC}">
                <c16:uniqueId val="{00000003-88F0-41D4-AA3A-F3BC488FF054}"/>
              </c:ext>
            </c:extLst>
          </c:dPt>
          <c:dPt>
            <c:idx val="2"/>
            <c:invertIfNegative val="0"/>
            <c:bubble3D val="0"/>
            <c:spPr>
              <a:pattFill prst="pct90">
                <a:fgClr>
                  <a:schemeClr val="accent5"/>
                </a:fgClr>
                <a:bgClr>
                  <a:schemeClr val="bg1"/>
                </a:bgClr>
              </a:pattFill>
              <a:ln>
                <a:solidFill>
                  <a:schemeClr val="tx1"/>
                </a:solidFill>
              </a:ln>
              <a:effectLst/>
            </c:spPr>
            <c:extLst>
              <c:ext xmlns:c16="http://schemas.microsoft.com/office/drawing/2014/chart" uri="{C3380CC4-5D6E-409C-BE32-E72D297353CC}">
                <c16:uniqueId val="{00000005-88F0-41D4-AA3A-F3BC488FF054}"/>
              </c:ext>
            </c:extLst>
          </c:dPt>
          <c:dPt>
            <c:idx val="3"/>
            <c:invertIfNegative val="0"/>
            <c:bubble3D val="0"/>
            <c:spPr>
              <a:pattFill prst="dkVert">
                <a:fgClr>
                  <a:schemeClr val="accent6"/>
                </a:fgClr>
                <a:bgClr>
                  <a:schemeClr val="bg1"/>
                </a:bgClr>
              </a:pattFill>
              <a:ln>
                <a:solidFill>
                  <a:schemeClr val="tx1"/>
                </a:solidFill>
              </a:ln>
              <a:effectLst/>
            </c:spPr>
            <c:extLst>
              <c:ext xmlns:c16="http://schemas.microsoft.com/office/drawing/2014/chart" uri="{C3380CC4-5D6E-409C-BE32-E72D297353CC}">
                <c16:uniqueId val="{00000007-88F0-41D4-AA3A-F3BC488FF054}"/>
              </c:ext>
            </c:extLst>
          </c:dPt>
          <c:cat>
            <c:strRef>
              <c:f>'Fig A6.2 Land by Fund Overview'!$C$6:$F$6</c:f>
              <c:strCache>
                <c:ptCount val="4"/>
                <c:pt idx="0">
                  <c:v>Einzelplan 14 (until Feb 2022)</c:v>
                </c:pt>
                <c:pt idx="1">
                  <c:v>Einzelplan 14 (after Feb 2022)</c:v>
                </c:pt>
                <c:pt idx="2">
                  <c:v>Sondervermögen</c:v>
                </c:pt>
                <c:pt idx="3">
                  <c:v>Einzelplan 60</c:v>
                </c:pt>
              </c:strCache>
            </c:strRef>
          </c:cat>
          <c:val>
            <c:numRef>
              <c:f>'Fig A6.2 Land by Fund Overview'!$C$7:$F$7</c:f>
              <c:numCache>
                <c:formatCode>_(* #,##0.00_);_(* \(#,##0.00\);_(* "-"??_);_(@_)</c:formatCode>
                <c:ptCount val="4"/>
                <c:pt idx="0">
                  <c:v>5.1020000000000003</c:v>
                </c:pt>
                <c:pt idx="1">
                  <c:v>2.4605999999999999</c:v>
                </c:pt>
                <c:pt idx="2">
                  <c:v>31.743500000000004</c:v>
                </c:pt>
                <c:pt idx="3">
                  <c:v>4.7723000000000004</c:v>
                </c:pt>
              </c:numCache>
            </c:numRef>
          </c:val>
          <c:extLst>
            <c:ext xmlns:c16="http://schemas.microsoft.com/office/drawing/2014/chart" uri="{C3380CC4-5D6E-409C-BE32-E72D297353CC}">
              <c16:uniqueId val="{00000008-88F0-41D4-AA3A-F3BC488FF054}"/>
            </c:ext>
          </c:extLst>
        </c:ser>
        <c:dLbls>
          <c:showLegendKey val="0"/>
          <c:showVal val="0"/>
          <c:showCatName val="0"/>
          <c:showSerName val="0"/>
          <c:showPercent val="0"/>
          <c:showBubbleSize val="0"/>
        </c:dLbls>
        <c:gapWidth val="219"/>
        <c:overlap val="-27"/>
        <c:axId val="20480128"/>
        <c:axId val="20492608"/>
      </c:barChart>
      <c:catAx>
        <c:axId val="204801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20492608"/>
        <c:crosses val="autoZero"/>
        <c:auto val="1"/>
        <c:lblAlgn val="ctr"/>
        <c:lblOffset val="100"/>
        <c:noMultiLvlLbl val="0"/>
      </c:catAx>
      <c:valAx>
        <c:axId val="20492608"/>
        <c:scaling>
          <c:orientation val="minMax"/>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2048012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9525">
                <a:solidFill>
                  <a:schemeClr val="tx1"/>
                </a:solidFill>
              </a:ln>
              <a:effectLst/>
            </c:spPr>
            <c:extLst>
              <c:ext xmlns:c16="http://schemas.microsoft.com/office/drawing/2014/chart" uri="{C3380CC4-5D6E-409C-BE32-E72D297353CC}">
                <c16:uniqueId val="{00000001-DBF0-4089-A2B6-F35DEFE6A969}"/>
              </c:ext>
            </c:extLst>
          </c:dPt>
          <c:dPt>
            <c:idx val="1"/>
            <c:bubble3D val="0"/>
            <c:spPr>
              <a:pattFill prst="dkVert">
                <a:fgClr>
                  <a:schemeClr val="accent6"/>
                </a:fgClr>
                <a:bgClr>
                  <a:schemeClr val="bg1"/>
                </a:bgClr>
              </a:pattFill>
              <a:ln w="9525">
                <a:solidFill>
                  <a:schemeClr val="tx1"/>
                </a:solidFill>
              </a:ln>
              <a:effectLst/>
            </c:spPr>
            <c:extLst>
              <c:ext xmlns:c16="http://schemas.microsoft.com/office/drawing/2014/chart" uri="{C3380CC4-5D6E-409C-BE32-E72D297353CC}">
                <c16:uniqueId val="{00000003-DBF0-4089-A2B6-F35DEFE6A969}"/>
              </c:ext>
            </c:extLst>
          </c:dPt>
          <c:dPt>
            <c:idx val="2"/>
            <c:bubble3D val="0"/>
            <c:spPr>
              <a:pattFill prst="dkHorz">
                <a:fgClr>
                  <a:schemeClr val="accent2"/>
                </a:fgClr>
                <a:bgClr>
                  <a:schemeClr val="bg1"/>
                </a:bgClr>
              </a:pattFill>
              <a:ln w="9525">
                <a:solidFill>
                  <a:schemeClr val="tx1">
                    <a:alpha val="86000"/>
                  </a:schemeClr>
                </a:solidFill>
              </a:ln>
              <a:effectLst/>
            </c:spPr>
            <c:extLst>
              <c:ext xmlns:c16="http://schemas.microsoft.com/office/drawing/2014/chart" uri="{C3380CC4-5D6E-409C-BE32-E72D297353CC}">
                <c16:uniqueId val="{00000005-DBF0-4089-A2B6-F35DEFE6A969}"/>
              </c:ext>
            </c:extLst>
          </c:dPt>
          <c:dPt>
            <c:idx val="3"/>
            <c:bubble3D val="0"/>
            <c:spPr>
              <a:pattFill prst="pct90">
                <a:fgClr>
                  <a:schemeClr val="accent5"/>
                </a:fgClr>
                <a:bgClr>
                  <a:schemeClr val="bg1"/>
                </a:bgClr>
              </a:pattFill>
              <a:ln w="9525">
                <a:solidFill>
                  <a:schemeClr val="tx1"/>
                </a:solidFill>
              </a:ln>
              <a:effectLst/>
            </c:spPr>
            <c:extLst>
              <c:ext xmlns:c16="http://schemas.microsoft.com/office/drawing/2014/chart" uri="{C3380CC4-5D6E-409C-BE32-E72D297353CC}">
                <c16:uniqueId val="{00000006-8FF9-4ECD-95C9-0EF1559D2022}"/>
              </c:ext>
            </c:extLst>
          </c:dPt>
          <c:cat>
            <c:strRef>
              <c:f>'Fig 5.3a Orders by Origin (%)'!$D$6:$G$6</c:f>
              <c:strCache>
                <c:ptCount val="4"/>
                <c:pt idx="0">
                  <c:v>Germany only</c:v>
                </c:pt>
                <c:pt idx="1">
                  <c:v>Germany and foreign partnership</c:v>
                </c:pt>
                <c:pt idx="2">
                  <c:v>European, non-Germany</c:v>
                </c:pt>
                <c:pt idx="3">
                  <c:v>Non-European only</c:v>
                </c:pt>
              </c:strCache>
            </c:strRef>
          </c:cat>
          <c:val>
            <c:numRef>
              <c:f>'Fig 5.3a Orders by Origin (%)'!$D$10:$G$10</c:f>
              <c:numCache>
                <c:formatCode>_(* #,##0.00_);_(* \(#,##0.00\);_(* "-"??_);_(@_)</c:formatCode>
                <c:ptCount val="4"/>
                <c:pt idx="0">
                  <c:v>64.628439999999998</c:v>
                </c:pt>
                <c:pt idx="1">
                  <c:v>47.069400000000002</c:v>
                </c:pt>
                <c:pt idx="2">
                  <c:v>0.70700000000000007</c:v>
                </c:pt>
                <c:pt idx="3">
                  <c:v>22.142800000000001</c:v>
                </c:pt>
              </c:numCache>
            </c:numRef>
          </c:val>
          <c:extLst>
            <c:ext xmlns:c16="http://schemas.microsoft.com/office/drawing/2014/chart" uri="{C3380CC4-5D6E-409C-BE32-E72D297353CC}">
              <c16:uniqueId val="{00000006-DBF0-4089-A2B6-F35DEFE6A969}"/>
            </c:ext>
          </c:extLst>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58050435779808007"/>
          <c:y val="0.59383056154671865"/>
          <c:w val="0.39610354392904679"/>
          <c:h val="0.31741269148543583"/>
        </c:manualLayout>
      </c:layout>
      <c:overlay val="0"/>
      <c:spPr>
        <a:noFill/>
        <a:ln>
          <a:noFill/>
        </a:ln>
        <a:effectLst/>
      </c:spPr>
      <c:txPr>
        <a:bodyPr rot="0" spcFirstLastPara="1" vertOverflow="ellipsis" vert="horz" wrap="square" anchor="ctr" anchorCtr="1"/>
        <a:lstStyle/>
        <a:p>
          <a:pPr rtl="0">
            <a:defRPr sz="1600" b="0" i="0" u="none" strike="noStrike" kern="1200"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3694673323534012E-2"/>
          <c:y val="3.3918058379142864E-2"/>
          <c:w val="0.92959105835415967"/>
          <c:h val="0.79615305580617601"/>
        </c:manualLayout>
      </c:layout>
      <c:barChart>
        <c:barDir val="col"/>
        <c:grouping val="stacked"/>
        <c:varyColors val="0"/>
        <c:ser>
          <c:idx val="4"/>
          <c:order val="0"/>
          <c:spPr>
            <a:solidFill>
              <a:schemeClr val="accent1"/>
            </a:solidFill>
            <a:ln>
              <a:solidFill>
                <a:schemeClr val="tx1"/>
              </a:solidFill>
            </a:ln>
            <a:effectLst/>
          </c:spPr>
          <c:invertIfNegative val="0"/>
          <c:cat>
            <c:numRef>
              <c:f>'Fig 5.4 Orders for Land Forces'!$B$7:$B$61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5.4 Orders for Land Forces'!$C$7:$C$61</c:f>
              <c:numCache>
                <c:formatCode>_(* #,##0.00_);_(* \(#,##0.00\);_(* "-"??_);_(@_)</c:formatCode>
                <c:ptCount val="55"/>
                <c:pt idx="0">
                  <c:v>0</c:v>
                </c:pt>
                <c:pt idx="1">
                  <c:v>0</c:v>
                </c:pt>
                <c:pt idx="2">
                  <c:v>0</c:v>
                </c:pt>
                <c:pt idx="3">
                  <c:v>0</c:v>
                </c:pt>
                <c:pt idx="4">
                  <c:v>0.03</c:v>
                </c:pt>
                <c:pt idx="5">
                  <c:v>0</c:v>
                </c:pt>
                <c:pt idx="6">
                  <c:v>0</c:v>
                </c:pt>
                <c:pt idx="7">
                  <c:v>0</c:v>
                </c:pt>
                <c:pt idx="8">
                  <c:v>0</c:v>
                </c:pt>
                <c:pt idx="9">
                  <c:v>0</c:v>
                </c:pt>
                <c:pt idx="10">
                  <c:v>0.20599999999999999</c:v>
                </c:pt>
                <c:pt idx="11">
                  <c:v>0</c:v>
                </c:pt>
                <c:pt idx="12">
                  <c:v>0</c:v>
                </c:pt>
                <c:pt idx="13">
                  <c:v>8.7999999999999995E-2</c:v>
                </c:pt>
                <c:pt idx="14">
                  <c:v>0</c:v>
                </c:pt>
                <c:pt idx="15">
                  <c:v>3.4580000000000002</c:v>
                </c:pt>
                <c:pt idx="16">
                  <c:v>0</c:v>
                </c:pt>
                <c:pt idx="17">
                  <c:v>1.32</c:v>
                </c:pt>
                <c:pt idx="18">
                  <c:v>0</c:v>
                </c:pt>
                <c:pt idx="19">
                  <c:v>0</c:v>
                </c:pt>
                <c:pt idx="20">
                  <c:v>0</c:v>
                </c:pt>
                <c:pt idx="21">
                  <c:v>0</c:v>
                </c:pt>
                <c:pt idx="22">
                  <c:v>0</c:v>
                </c:pt>
                <c:pt idx="23">
                  <c:v>0</c:v>
                </c:pt>
                <c:pt idx="24">
                  <c:v>0</c:v>
                </c:pt>
                <c:pt idx="25">
                  <c:v>0</c:v>
                </c:pt>
                <c:pt idx="26">
                  <c:v>0</c:v>
                </c:pt>
                <c:pt idx="27">
                  <c:v>0.15</c:v>
                </c:pt>
                <c:pt idx="28">
                  <c:v>0</c:v>
                </c:pt>
                <c:pt idx="29">
                  <c:v>0</c:v>
                </c:pt>
                <c:pt idx="30">
                  <c:v>4.2099999999999999E-2</c:v>
                </c:pt>
                <c:pt idx="31">
                  <c:v>0</c:v>
                </c:pt>
                <c:pt idx="32">
                  <c:v>0</c:v>
                </c:pt>
                <c:pt idx="33">
                  <c:v>9.74E-2</c:v>
                </c:pt>
                <c:pt idx="34">
                  <c:v>0</c:v>
                </c:pt>
                <c:pt idx="35">
                  <c:v>1.464</c:v>
                </c:pt>
                <c:pt idx="36">
                  <c:v>0</c:v>
                </c:pt>
                <c:pt idx="37">
                  <c:v>0.16800000000000001</c:v>
                </c:pt>
                <c:pt idx="38">
                  <c:v>1.2991999999999999</c:v>
                </c:pt>
                <c:pt idx="39">
                  <c:v>0</c:v>
                </c:pt>
                <c:pt idx="40">
                  <c:v>1.8033000000000001</c:v>
                </c:pt>
                <c:pt idx="41">
                  <c:v>0.95</c:v>
                </c:pt>
                <c:pt idx="42">
                  <c:v>8.5849000000000011</c:v>
                </c:pt>
                <c:pt idx="43">
                  <c:v>0</c:v>
                </c:pt>
                <c:pt idx="44">
                  <c:v>0.23860000000000001</c:v>
                </c:pt>
                <c:pt idx="45">
                  <c:v>4.1609999999999996</c:v>
                </c:pt>
                <c:pt idx="46">
                  <c:v>0.40100000000000002</c:v>
                </c:pt>
                <c:pt idx="47">
                  <c:v>5.9740000000000002</c:v>
                </c:pt>
                <c:pt idx="48">
                  <c:v>1.23</c:v>
                </c:pt>
                <c:pt idx="49">
                  <c:v>0.64900000000000002</c:v>
                </c:pt>
                <c:pt idx="50">
                  <c:v>3.34</c:v>
                </c:pt>
                <c:pt idx="51">
                  <c:v>0.44700000000000001</c:v>
                </c:pt>
                <c:pt idx="52">
                  <c:v>0</c:v>
                </c:pt>
                <c:pt idx="53">
                  <c:v>1.466</c:v>
                </c:pt>
                <c:pt idx="54">
                  <c:v>6.2519999999999998</c:v>
                </c:pt>
              </c:numCache>
            </c:numRef>
          </c:val>
          <c:extLst>
            <c:ext xmlns:c16="http://schemas.microsoft.com/office/drawing/2014/chart" uri="{C3380CC4-5D6E-409C-BE32-E72D297353CC}">
              <c16:uniqueId val="{00000000-EA50-4FC7-9EFD-C667173BFFDF}"/>
            </c:ext>
          </c:extLst>
        </c:ser>
        <c:dLbls>
          <c:showLegendKey val="0"/>
          <c:showVal val="0"/>
          <c:showCatName val="0"/>
          <c:showSerName val="0"/>
          <c:showPercent val="0"/>
          <c:showBubbleSize val="0"/>
        </c:dLbls>
        <c:gapWidth val="50"/>
        <c:overlap val="100"/>
        <c:axId val="112003664"/>
        <c:axId val="112001744"/>
      </c:barChart>
      <c:dateAx>
        <c:axId val="112003664"/>
        <c:scaling>
          <c:orientation val="minMax"/>
        </c:scaling>
        <c:delete val="0"/>
        <c:axPos val="b"/>
        <c:numFmt formatCode="mmm\-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1744"/>
        <c:crosses val="autoZero"/>
        <c:auto val="1"/>
        <c:lblOffset val="100"/>
        <c:baseTimeUnit val="months"/>
      </c:dateAx>
      <c:valAx>
        <c:axId val="112001744"/>
        <c:scaling>
          <c:orientation val="minMax"/>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366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1"/>
              </a:solidFill>
              <a:ln>
                <a:solidFill>
                  <a:schemeClr val="tx1"/>
                </a:solidFill>
              </a:ln>
              <a:effectLst/>
            </c:spPr>
            <c:extLst>
              <c:ext xmlns:c16="http://schemas.microsoft.com/office/drawing/2014/chart" uri="{C3380CC4-5D6E-409C-BE32-E72D297353CC}">
                <c16:uniqueId val="{00000001-9D67-40FB-8E95-1F728663EF60}"/>
              </c:ext>
            </c:extLst>
          </c:dPt>
          <c:dPt>
            <c:idx val="1"/>
            <c:invertIfNegative val="0"/>
            <c:bubble3D val="0"/>
            <c:spPr>
              <a:pattFill prst="dkDnDiag">
                <a:fgClr>
                  <a:schemeClr val="accent4"/>
                </a:fgClr>
                <a:bgClr>
                  <a:schemeClr val="bg1"/>
                </a:bgClr>
              </a:pattFill>
              <a:ln>
                <a:solidFill>
                  <a:schemeClr val="tx1"/>
                </a:solidFill>
              </a:ln>
              <a:effectLst/>
            </c:spPr>
            <c:extLst>
              <c:ext xmlns:c16="http://schemas.microsoft.com/office/drawing/2014/chart" uri="{C3380CC4-5D6E-409C-BE32-E72D297353CC}">
                <c16:uniqueId val="{00000006-9D67-40FB-8E95-1F728663EF60}"/>
              </c:ext>
            </c:extLst>
          </c:dPt>
          <c:dPt>
            <c:idx val="2"/>
            <c:invertIfNegative val="0"/>
            <c:bubble3D val="0"/>
            <c:spPr>
              <a:solidFill>
                <a:schemeClr val="accent1">
                  <a:alpha val="94000"/>
                </a:schemeClr>
              </a:solidFill>
              <a:ln>
                <a:solidFill>
                  <a:schemeClr val="tx1"/>
                </a:solidFill>
              </a:ln>
              <a:effectLst/>
            </c:spPr>
            <c:extLst>
              <c:ext xmlns:c16="http://schemas.microsoft.com/office/drawing/2014/chart" uri="{C3380CC4-5D6E-409C-BE32-E72D297353CC}">
                <c16:uniqueId val="{00000005-67E8-45F1-9627-95BB5474B328}"/>
              </c:ext>
            </c:extLst>
          </c:dPt>
          <c:dPt>
            <c:idx val="3"/>
            <c:invertIfNegative val="0"/>
            <c:bubble3D val="0"/>
            <c:spPr>
              <a:pattFill prst="dkDnDiag">
                <a:fgClr>
                  <a:schemeClr val="accent4"/>
                </a:fgClr>
                <a:bgClr>
                  <a:schemeClr val="bg1"/>
                </a:bgClr>
              </a:pattFill>
              <a:ln>
                <a:solidFill>
                  <a:schemeClr val="tx1"/>
                </a:solidFill>
              </a:ln>
              <a:effectLst/>
            </c:spPr>
            <c:extLst>
              <c:ext xmlns:c16="http://schemas.microsoft.com/office/drawing/2014/chart" uri="{C3380CC4-5D6E-409C-BE32-E72D297353CC}">
                <c16:uniqueId val="{00000002-9D67-40FB-8E95-1F728663EF60}"/>
              </c:ext>
            </c:extLst>
          </c:dPt>
          <c:dPt>
            <c:idx val="4"/>
            <c:invertIfNegative val="0"/>
            <c:bubble3D val="0"/>
            <c:spPr>
              <a:solidFill>
                <a:schemeClr val="accent1"/>
              </a:solidFill>
              <a:ln>
                <a:solidFill>
                  <a:schemeClr val="tx1"/>
                </a:solidFill>
              </a:ln>
              <a:effectLst/>
            </c:spPr>
            <c:extLst>
              <c:ext xmlns:c16="http://schemas.microsoft.com/office/drawing/2014/chart" uri="{C3380CC4-5D6E-409C-BE32-E72D297353CC}">
                <c16:uniqueId val="{00000007-9D67-40FB-8E95-1F728663EF60}"/>
              </c:ext>
            </c:extLst>
          </c:dPt>
          <c:dPt>
            <c:idx val="5"/>
            <c:invertIfNegative val="0"/>
            <c:bubble3D val="0"/>
            <c:spPr>
              <a:pattFill prst="dkDnDiag">
                <a:fgClr>
                  <a:schemeClr val="accent4"/>
                </a:fgClr>
                <a:bgClr>
                  <a:schemeClr val="bg1"/>
                </a:bgClr>
              </a:pattFill>
              <a:ln>
                <a:solidFill>
                  <a:schemeClr val="tx1"/>
                </a:solidFill>
              </a:ln>
              <a:effectLst/>
            </c:spPr>
            <c:extLst>
              <c:ext xmlns:c16="http://schemas.microsoft.com/office/drawing/2014/chart" uri="{C3380CC4-5D6E-409C-BE32-E72D297353CC}">
                <c16:uniqueId val="{0000000B-67E8-45F1-9627-95BB5474B328}"/>
              </c:ext>
            </c:extLst>
          </c:dPt>
          <c:dPt>
            <c:idx val="6"/>
            <c:invertIfNegative val="0"/>
            <c:bubble3D val="0"/>
            <c:spPr>
              <a:solidFill>
                <a:schemeClr val="accent1"/>
              </a:solidFill>
              <a:ln>
                <a:solidFill>
                  <a:schemeClr val="tx1"/>
                </a:solidFill>
              </a:ln>
              <a:effectLst/>
            </c:spPr>
            <c:extLst>
              <c:ext xmlns:c16="http://schemas.microsoft.com/office/drawing/2014/chart" uri="{C3380CC4-5D6E-409C-BE32-E72D297353CC}">
                <c16:uniqueId val="{00000004-9D67-40FB-8E95-1F728663EF60}"/>
              </c:ext>
            </c:extLst>
          </c:dPt>
          <c:dPt>
            <c:idx val="7"/>
            <c:invertIfNegative val="0"/>
            <c:bubble3D val="0"/>
            <c:spPr>
              <a:pattFill prst="dkDnDiag">
                <a:fgClr>
                  <a:schemeClr val="accent4"/>
                </a:fgClr>
                <a:bgClr>
                  <a:schemeClr val="bg1"/>
                </a:bgClr>
              </a:pattFill>
              <a:ln>
                <a:solidFill>
                  <a:schemeClr val="tx1"/>
                </a:solidFill>
              </a:ln>
              <a:effectLst/>
            </c:spPr>
            <c:extLst>
              <c:ext xmlns:c16="http://schemas.microsoft.com/office/drawing/2014/chart" uri="{C3380CC4-5D6E-409C-BE32-E72D297353CC}">
                <c16:uniqueId val="{00000003-9D67-40FB-8E95-1F728663EF60}"/>
              </c:ext>
            </c:extLst>
          </c:dPt>
          <c:cat>
            <c:multiLvlStrRef>
              <c:f>'Fig 5.5 Order Priorities'!$E$6:$L$7</c:f>
              <c:multiLvlStrCache>
                <c:ptCount val="8"/>
                <c:lvl>
                  <c:pt idx="0">
                    <c:v>2020-21</c:v>
                  </c:pt>
                  <c:pt idx="1">
                    <c:v>2022-24</c:v>
                  </c:pt>
                  <c:pt idx="2">
                    <c:v>2020-21</c:v>
                  </c:pt>
                  <c:pt idx="3">
                    <c:v>2022-24</c:v>
                  </c:pt>
                  <c:pt idx="4">
                    <c:v>2020-21</c:v>
                  </c:pt>
                  <c:pt idx="5">
                    <c:v>2022-24</c:v>
                  </c:pt>
                  <c:pt idx="6">
                    <c:v>2020-21</c:v>
                  </c:pt>
                  <c:pt idx="7">
                    <c:v>2022-24</c:v>
                  </c:pt>
                </c:lvl>
                <c:lvl>
                  <c:pt idx="0">
                    <c:v>Air</c:v>
                  </c:pt>
                  <c:pt idx="2">
                    <c:v>Sea</c:v>
                  </c:pt>
                  <c:pt idx="4">
                    <c:v>Land</c:v>
                  </c:pt>
                  <c:pt idx="6">
                    <c:v>Other</c:v>
                  </c:pt>
                </c:lvl>
              </c:multiLvlStrCache>
            </c:multiLvlStrRef>
          </c:cat>
          <c:val>
            <c:numRef>
              <c:f>'Fig 5.5 Order Priorities'!$E$8:$L$8</c:f>
              <c:numCache>
                <c:formatCode>_(* #,##0.00_);_(* \(#,##0.00\);_(* "-"??_);_(@_)</c:formatCode>
                <c:ptCount val="8"/>
                <c:pt idx="0">
                  <c:v>14.831</c:v>
                </c:pt>
                <c:pt idx="1">
                  <c:v>9.7939000000000007</c:v>
                </c:pt>
                <c:pt idx="2">
                  <c:v>16.171878</c:v>
                </c:pt>
                <c:pt idx="3">
                  <c:v>9.1166</c:v>
                </c:pt>
                <c:pt idx="4">
                  <c:v>5.1020000000000012</c:v>
                </c:pt>
                <c:pt idx="5">
                  <c:v>38.717500000000001</c:v>
                </c:pt>
                <c:pt idx="6">
                  <c:v>11.672000000000001</c:v>
                </c:pt>
                <c:pt idx="7">
                  <c:v>32.238190000000003</c:v>
                </c:pt>
              </c:numCache>
            </c:numRef>
          </c:val>
          <c:extLst>
            <c:ext xmlns:c16="http://schemas.microsoft.com/office/drawing/2014/chart" uri="{C3380CC4-5D6E-409C-BE32-E72D297353CC}">
              <c16:uniqueId val="{00000000-9D67-40FB-8E95-1F728663EF60}"/>
            </c:ext>
          </c:extLst>
        </c:ser>
        <c:dLbls>
          <c:showLegendKey val="0"/>
          <c:showVal val="0"/>
          <c:showCatName val="0"/>
          <c:showSerName val="0"/>
          <c:showPercent val="0"/>
          <c:showBubbleSize val="0"/>
        </c:dLbls>
        <c:gapWidth val="150"/>
        <c:overlap val="-27"/>
        <c:axId val="959206288"/>
        <c:axId val="959208208"/>
      </c:barChart>
      <c:catAx>
        <c:axId val="9592062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959208208"/>
        <c:crosses val="autoZero"/>
        <c:auto val="1"/>
        <c:lblAlgn val="ctr"/>
        <c:lblOffset val="100"/>
        <c:noMultiLvlLbl val="0"/>
      </c:catAx>
      <c:valAx>
        <c:axId val="959208208"/>
        <c:scaling>
          <c:orientation val="minMax"/>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95920628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0286054046798872E-2"/>
          <c:y val="9.6006817453829219E-2"/>
          <c:w val="0.92853215611846474"/>
          <c:h val="0.79769475159243619"/>
        </c:manualLayout>
      </c:layout>
      <c:barChart>
        <c:barDir val="col"/>
        <c:grouping val="stacked"/>
        <c:varyColors val="0"/>
        <c:ser>
          <c:idx val="0"/>
          <c:order val="0"/>
          <c:tx>
            <c:strRef>
              <c:f>'Fig 6.2 Orders by Fund'!$C$6</c:f>
              <c:strCache>
                <c:ptCount val="1"/>
                <c:pt idx="0">
                  <c:v>Einzelplan 14</c:v>
                </c:pt>
              </c:strCache>
            </c:strRef>
          </c:tx>
          <c:spPr>
            <a:solidFill>
              <a:schemeClr val="accent1"/>
            </a:solidFill>
            <a:ln>
              <a:solidFill>
                <a:schemeClr val="tx1">
                  <a:alpha val="90000"/>
                </a:schemeClr>
              </a:solidFill>
            </a:ln>
            <a:effectLst/>
          </c:spPr>
          <c:invertIfNegative val="0"/>
          <c:cat>
            <c:numRef>
              <c:f>'Fig 6.2 Orders by Fund'!$B$7:$B$61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6.2 Orders by Fund'!$C$7:$C$61</c:f>
              <c:numCache>
                <c:formatCode>_(* #,##0.00_);_(* \(#,##0.00\);_(* "-"??_);_(@_)</c:formatCode>
                <c:ptCount val="55"/>
                <c:pt idx="0">
                  <c:v>0</c:v>
                </c:pt>
                <c:pt idx="1">
                  <c:v>0</c:v>
                </c:pt>
                <c:pt idx="2">
                  <c:v>0</c:v>
                </c:pt>
                <c:pt idx="3">
                  <c:v>0</c:v>
                </c:pt>
                <c:pt idx="4">
                  <c:v>0.03</c:v>
                </c:pt>
                <c:pt idx="5">
                  <c:v>13</c:v>
                </c:pt>
                <c:pt idx="6">
                  <c:v>0</c:v>
                </c:pt>
                <c:pt idx="7">
                  <c:v>0.35</c:v>
                </c:pt>
                <c:pt idx="8">
                  <c:v>2.3839999999999999</c:v>
                </c:pt>
                <c:pt idx="9">
                  <c:v>0.04</c:v>
                </c:pt>
                <c:pt idx="10">
                  <c:v>8.7080000000000002</c:v>
                </c:pt>
                <c:pt idx="11">
                  <c:v>0.45</c:v>
                </c:pt>
                <c:pt idx="12">
                  <c:v>0</c:v>
                </c:pt>
                <c:pt idx="13">
                  <c:v>8.7999999999999995E-2</c:v>
                </c:pt>
                <c:pt idx="14">
                  <c:v>0</c:v>
                </c:pt>
                <c:pt idx="15">
                  <c:v>3.7</c:v>
                </c:pt>
                <c:pt idx="16">
                  <c:v>2.4020000000000001</c:v>
                </c:pt>
                <c:pt idx="17">
                  <c:v>16.146878000000001</c:v>
                </c:pt>
                <c:pt idx="18">
                  <c:v>0</c:v>
                </c:pt>
                <c:pt idx="19">
                  <c:v>0</c:v>
                </c:pt>
                <c:pt idx="20">
                  <c:v>0</c:v>
                </c:pt>
                <c:pt idx="21">
                  <c:v>0</c:v>
                </c:pt>
                <c:pt idx="22">
                  <c:v>0</c:v>
                </c:pt>
                <c:pt idx="23">
                  <c:v>0</c:v>
                </c:pt>
                <c:pt idx="24">
                  <c:v>0</c:v>
                </c:pt>
                <c:pt idx="25">
                  <c:v>0</c:v>
                </c:pt>
                <c:pt idx="26">
                  <c:v>0</c:v>
                </c:pt>
                <c:pt idx="27">
                  <c:v>0.15</c:v>
                </c:pt>
                <c:pt idx="28">
                  <c:v>2.5139</c:v>
                </c:pt>
                <c:pt idx="29">
                  <c:v>0.10100000000000001</c:v>
                </c:pt>
                <c:pt idx="30">
                  <c:v>7.5159000000000002</c:v>
                </c:pt>
                <c:pt idx="31">
                  <c:v>0</c:v>
                </c:pt>
                <c:pt idx="32">
                  <c:v>0.63700000000000001</c:v>
                </c:pt>
                <c:pt idx="33">
                  <c:v>0.10489999999999999</c:v>
                </c:pt>
                <c:pt idx="34">
                  <c:v>0.15545</c:v>
                </c:pt>
                <c:pt idx="35">
                  <c:v>0.27800000000000002</c:v>
                </c:pt>
                <c:pt idx="36">
                  <c:v>0</c:v>
                </c:pt>
                <c:pt idx="37">
                  <c:v>5.28E-2</c:v>
                </c:pt>
                <c:pt idx="38">
                  <c:v>0.2382</c:v>
                </c:pt>
                <c:pt idx="39">
                  <c:v>0.76700000000000002</c:v>
                </c:pt>
                <c:pt idx="40">
                  <c:v>3.2000000000000001E-2</c:v>
                </c:pt>
                <c:pt idx="41">
                  <c:v>0.9032</c:v>
                </c:pt>
                <c:pt idx="42">
                  <c:v>1.3858999999999999</c:v>
                </c:pt>
                <c:pt idx="43">
                  <c:v>0</c:v>
                </c:pt>
                <c:pt idx="44">
                  <c:v>0.43630000000000002</c:v>
                </c:pt>
                <c:pt idx="45">
                  <c:v>5.2499999999999998E-2</c:v>
                </c:pt>
                <c:pt idx="46">
                  <c:v>13.5083</c:v>
                </c:pt>
                <c:pt idx="47">
                  <c:v>6.9680000000000006E-2</c:v>
                </c:pt>
                <c:pt idx="48">
                  <c:v>0</c:v>
                </c:pt>
                <c:pt idx="49">
                  <c:v>2.2000000000000002</c:v>
                </c:pt>
                <c:pt idx="50">
                  <c:v>8.1000000000000003E-2</c:v>
                </c:pt>
                <c:pt idx="51">
                  <c:v>0</c:v>
                </c:pt>
                <c:pt idx="52">
                  <c:v>1.7027600000000001</c:v>
                </c:pt>
                <c:pt idx="53">
                  <c:v>3.2850000000000001</c:v>
                </c:pt>
                <c:pt idx="54">
                  <c:v>1.05</c:v>
                </c:pt>
              </c:numCache>
            </c:numRef>
          </c:val>
          <c:extLst>
            <c:ext xmlns:c16="http://schemas.microsoft.com/office/drawing/2014/chart" uri="{C3380CC4-5D6E-409C-BE32-E72D297353CC}">
              <c16:uniqueId val="{00000000-1EA3-4511-9F27-66D2F626CB84}"/>
            </c:ext>
          </c:extLst>
        </c:ser>
        <c:ser>
          <c:idx val="2"/>
          <c:order val="1"/>
          <c:tx>
            <c:strRef>
              <c:f>'Fig 6.2 Orders by Fund'!$D$6</c:f>
              <c:strCache>
                <c:ptCount val="1"/>
                <c:pt idx="0">
                  <c:v>Sondervermögen</c:v>
                </c:pt>
              </c:strCache>
            </c:strRef>
          </c:tx>
          <c:spPr>
            <a:pattFill prst="pct60">
              <a:fgClr>
                <a:schemeClr val="accent5"/>
              </a:fgClr>
              <a:bgClr>
                <a:schemeClr val="bg1"/>
              </a:bgClr>
            </a:pattFill>
            <a:ln>
              <a:solidFill>
                <a:schemeClr val="tx1"/>
              </a:solidFill>
            </a:ln>
            <a:effectLst/>
          </c:spPr>
          <c:invertIfNegative val="0"/>
          <c:cat>
            <c:numRef>
              <c:f>'Fig 6.2 Orders by Fund'!$B$7:$B$61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6.2 Orders by Fund'!$D$7:$D$61</c:f>
              <c:numCache>
                <c:formatCode>_(* #,##0.00_);_(* \(#,##0.00\);_(* "-"??_);_(@_)</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3.5000000000000003E-2</c:v>
                </c:pt>
                <c:pt idx="30">
                  <c:v>0</c:v>
                </c:pt>
                <c:pt idx="31">
                  <c:v>0</c:v>
                </c:pt>
                <c:pt idx="32">
                  <c:v>0</c:v>
                </c:pt>
                <c:pt idx="33">
                  <c:v>0</c:v>
                </c:pt>
                <c:pt idx="34">
                  <c:v>0</c:v>
                </c:pt>
                <c:pt idx="35">
                  <c:v>9.6059999999999999</c:v>
                </c:pt>
                <c:pt idx="36">
                  <c:v>0</c:v>
                </c:pt>
                <c:pt idx="37">
                  <c:v>0</c:v>
                </c:pt>
                <c:pt idx="38">
                  <c:v>0.95220000000000005</c:v>
                </c:pt>
                <c:pt idx="39">
                  <c:v>0</c:v>
                </c:pt>
                <c:pt idx="40">
                  <c:v>1.2669999999999999</c:v>
                </c:pt>
                <c:pt idx="41">
                  <c:v>0.95</c:v>
                </c:pt>
                <c:pt idx="42">
                  <c:v>7.85</c:v>
                </c:pt>
                <c:pt idx="43">
                  <c:v>0</c:v>
                </c:pt>
                <c:pt idx="44">
                  <c:v>0</c:v>
                </c:pt>
                <c:pt idx="45">
                  <c:v>4.2919999999999998</c:v>
                </c:pt>
                <c:pt idx="46">
                  <c:v>1.292</c:v>
                </c:pt>
                <c:pt idx="47">
                  <c:v>5.1938000000000004</c:v>
                </c:pt>
                <c:pt idx="48">
                  <c:v>1.23</c:v>
                </c:pt>
                <c:pt idx="49">
                  <c:v>0.64900000000000002</c:v>
                </c:pt>
                <c:pt idx="50">
                  <c:v>3.6509</c:v>
                </c:pt>
                <c:pt idx="51">
                  <c:v>0.58699999999999997</c:v>
                </c:pt>
                <c:pt idx="52">
                  <c:v>0.1462</c:v>
                </c:pt>
                <c:pt idx="53">
                  <c:v>5.7969999999999997</c:v>
                </c:pt>
                <c:pt idx="54">
                  <c:v>4.2670000000000003</c:v>
                </c:pt>
              </c:numCache>
            </c:numRef>
          </c:val>
          <c:extLst>
            <c:ext xmlns:c16="http://schemas.microsoft.com/office/drawing/2014/chart" uri="{C3380CC4-5D6E-409C-BE32-E72D297353CC}">
              <c16:uniqueId val="{00000002-1EA3-4511-9F27-66D2F626CB84}"/>
            </c:ext>
          </c:extLst>
        </c:ser>
        <c:ser>
          <c:idx val="1"/>
          <c:order val="2"/>
          <c:tx>
            <c:strRef>
              <c:f>'Fig 6.2 Orders by Fund'!$E$6</c:f>
              <c:strCache>
                <c:ptCount val="1"/>
                <c:pt idx="0">
                  <c:v>Einzelplan 60</c:v>
                </c:pt>
              </c:strCache>
            </c:strRef>
          </c:tx>
          <c:spPr>
            <a:pattFill prst="dkDnDiag">
              <a:fgClr>
                <a:schemeClr val="accent6"/>
              </a:fgClr>
              <a:bgClr>
                <a:schemeClr val="bg1"/>
              </a:bgClr>
            </a:pattFill>
            <a:ln>
              <a:solidFill>
                <a:schemeClr val="tx1">
                  <a:alpha val="96000"/>
                </a:schemeClr>
              </a:solidFill>
            </a:ln>
            <a:effectLst/>
          </c:spPr>
          <c:invertIfNegative val="0"/>
          <c:cat>
            <c:numRef>
              <c:f>'Fig 6.2 Orders by Fund'!$B$7:$B$61</c:f>
              <c:numCache>
                <c:formatCode>mmm\-yyyy</c:formatCode>
                <c:ptCount val="55"/>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numCache>
            </c:numRef>
          </c:cat>
          <c:val>
            <c:numRef>
              <c:f>'Fig 6.2 Orders by Fund'!$E$7:$E$61</c:f>
              <c:numCache>
                <c:formatCode>_(* #,##0.00_);_(* \(#,##0.00\);_(* "-"??_);_(@_)</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0.16800000000000001</c:v>
                </c:pt>
                <c:pt idx="38">
                  <c:v>0.184</c:v>
                </c:pt>
                <c:pt idx="39">
                  <c:v>0</c:v>
                </c:pt>
                <c:pt idx="40">
                  <c:v>0.71630000000000005</c:v>
                </c:pt>
                <c:pt idx="41">
                  <c:v>0</c:v>
                </c:pt>
                <c:pt idx="42">
                  <c:v>0.50900000000000001</c:v>
                </c:pt>
                <c:pt idx="43">
                  <c:v>0</c:v>
                </c:pt>
                <c:pt idx="44">
                  <c:v>0</c:v>
                </c:pt>
                <c:pt idx="45">
                  <c:v>6.8000000000000005E-2</c:v>
                </c:pt>
                <c:pt idx="46">
                  <c:v>0.15</c:v>
                </c:pt>
                <c:pt idx="47">
                  <c:v>0.98799999999999999</c:v>
                </c:pt>
                <c:pt idx="48">
                  <c:v>0</c:v>
                </c:pt>
                <c:pt idx="49">
                  <c:v>0</c:v>
                </c:pt>
                <c:pt idx="50">
                  <c:v>0.7</c:v>
                </c:pt>
                <c:pt idx="51">
                  <c:v>0</c:v>
                </c:pt>
                <c:pt idx="52">
                  <c:v>0</c:v>
                </c:pt>
                <c:pt idx="53">
                  <c:v>0.39500000000000002</c:v>
                </c:pt>
                <c:pt idx="54">
                  <c:v>1.002</c:v>
                </c:pt>
              </c:numCache>
            </c:numRef>
          </c:val>
          <c:extLst>
            <c:ext xmlns:c16="http://schemas.microsoft.com/office/drawing/2014/chart" uri="{C3380CC4-5D6E-409C-BE32-E72D297353CC}">
              <c16:uniqueId val="{00000001-1EA3-4511-9F27-66D2F626CB84}"/>
            </c:ext>
          </c:extLst>
        </c:ser>
        <c:dLbls>
          <c:showLegendKey val="0"/>
          <c:showVal val="0"/>
          <c:showCatName val="0"/>
          <c:showSerName val="0"/>
          <c:showPercent val="0"/>
          <c:showBubbleSize val="0"/>
        </c:dLbls>
        <c:gapWidth val="50"/>
        <c:overlap val="100"/>
        <c:axId val="112003664"/>
        <c:axId val="112001744"/>
      </c:barChart>
      <c:dateAx>
        <c:axId val="112003664"/>
        <c:scaling>
          <c:orientation val="minMax"/>
        </c:scaling>
        <c:delete val="0"/>
        <c:axPos val="b"/>
        <c:numFmt formatCode="mmm\-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1744"/>
        <c:crosses val="autoZero"/>
        <c:auto val="1"/>
        <c:lblOffset val="100"/>
        <c:baseTimeUnit val="months"/>
      </c:dateAx>
      <c:valAx>
        <c:axId val="112001744"/>
        <c:scaling>
          <c:orientation val="minMax"/>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2003664"/>
        <c:crosses val="autoZero"/>
        <c:crossBetween val="between"/>
      </c:valAx>
      <c:spPr>
        <a:noFill/>
        <a:ln>
          <a:noFill/>
        </a:ln>
        <a:effectLst/>
      </c:spPr>
    </c:plotArea>
    <c:legend>
      <c:legendPos val="r"/>
      <c:layout>
        <c:manualLayout>
          <c:xMode val="edge"/>
          <c:yMode val="edge"/>
          <c:x val="0.59554211736790474"/>
          <c:y val="8.7312005143233437E-2"/>
          <c:w val="0.15355962843659696"/>
          <c:h val="0.2441436422706377"/>
        </c:manualLayout>
      </c:layout>
      <c:overlay val="0"/>
      <c:spPr>
        <a:solidFill>
          <a:sysClr val="window" lastClr="FFFFFF"/>
        </a:solidFill>
        <a:ln>
          <a:noFill/>
        </a:ln>
        <a:effectLst/>
      </c:spPr>
      <c:txPr>
        <a:bodyPr rot="0" spcFirstLastPara="1" vertOverflow="ellipsis" vert="horz" wrap="square" anchor="ctr" anchorCtr="1"/>
        <a:lstStyle/>
        <a:p>
          <a:pPr>
            <a:defRPr sz="1600" b="0" i="0" u="none" strike="noStrike" kern="1200"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076687264485639E-2"/>
          <c:y val="3.9048633297834576E-2"/>
          <c:w val="0.91267571868477071"/>
          <c:h val="0.89167540159716441"/>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1"/>
              </a:solidFill>
              <a:ln>
                <a:solidFill>
                  <a:schemeClr val="tx1"/>
                </a:solidFill>
              </a:ln>
              <a:effectLst/>
            </c:spPr>
            <c:extLst>
              <c:ext xmlns:c16="http://schemas.microsoft.com/office/drawing/2014/chart" uri="{C3380CC4-5D6E-409C-BE32-E72D297353CC}">
                <c16:uniqueId val="{00000003-CA56-4149-ADFC-CF842A96FC0B}"/>
              </c:ext>
            </c:extLst>
          </c:dPt>
          <c:dPt>
            <c:idx val="1"/>
            <c:invertIfNegative val="0"/>
            <c:bubble3D val="0"/>
            <c:spPr>
              <a:solidFill>
                <a:schemeClr val="accent1"/>
              </a:solidFill>
              <a:ln>
                <a:solidFill>
                  <a:schemeClr val="tx1"/>
                </a:solidFill>
              </a:ln>
              <a:effectLst/>
            </c:spPr>
            <c:extLst>
              <c:ext xmlns:c16="http://schemas.microsoft.com/office/drawing/2014/chart" uri="{C3380CC4-5D6E-409C-BE32-E72D297353CC}">
                <c16:uniqueId val="{00000002-CA56-4149-ADFC-CF842A96FC0B}"/>
              </c:ext>
            </c:extLst>
          </c:dPt>
          <c:dPt>
            <c:idx val="2"/>
            <c:invertIfNegative val="0"/>
            <c:bubble3D val="0"/>
            <c:spPr>
              <a:pattFill prst="pct90">
                <a:fgClr>
                  <a:schemeClr val="accent5"/>
                </a:fgClr>
                <a:bgClr>
                  <a:schemeClr val="bg1"/>
                </a:bgClr>
              </a:pattFill>
              <a:ln>
                <a:solidFill>
                  <a:schemeClr val="tx1"/>
                </a:solidFill>
              </a:ln>
              <a:effectLst/>
            </c:spPr>
            <c:extLst>
              <c:ext xmlns:c16="http://schemas.microsoft.com/office/drawing/2014/chart" uri="{C3380CC4-5D6E-409C-BE32-E72D297353CC}">
                <c16:uniqueId val="{00000001-CA56-4149-ADFC-CF842A96FC0B}"/>
              </c:ext>
            </c:extLst>
          </c:dPt>
          <c:dPt>
            <c:idx val="3"/>
            <c:invertIfNegative val="0"/>
            <c:bubble3D val="0"/>
            <c:spPr>
              <a:pattFill prst="dkVert">
                <a:fgClr>
                  <a:schemeClr val="accent6"/>
                </a:fgClr>
                <a:bgClr>
                  <a:schemeClr val="bg1"/>
                </a:bgClr>
              </a:pattFill>
              <a:ln>
                <a:solidFill>
                  <a:schemeClr val="tx1"/>
                </a:solidFill>
              </a:ln>
              <a:effectLst/>
            </c:spPr>
            <c:extLst>
              <c:ext xmlns:c16="http://schemas.microsoft.com/office/drawing/2014/chart" uri="{C3380CC4-5D6E-409C-BE32-E72D297353CC}">
                <c16:uniqueId val="{00000004-CA56-4149-ADFC-CF842A96FC0B}"/>
              </c:ext>
            </c:extLst>
          </c:dPt>
          <c:cat>
            <c:strRef>
              <c:f>'Fig 6.3 Orders by Fund Overview'!$C$6:$F$6</c:f>
              <c:strCache>
                <c:ptCount val="4"/>
                <c:pt idx="0">
                  <c:v>Einzelplan 14 (until Feb 2022)</c:v>
                </c:pt>
                <c:pt idx="1">
                  <c:v>Einzelplan 14 (after Feb 2022)</c:v>
                </c:pt>
                <c:pt idx="2">
                  <c:v>Sondervermögen</c:v>
                </c:pt>
                <c:pt idx="3">
                  <c:v>Einzelplan 60</c:v>
                </c:pt>
              </c:strCache>
            </c:strRef>
          </c:cat>
          <c:val>
            <c:numRef>
              <c:f>'Fig 6.3 Orders by Fund Overview'!$C$7:$F$7</c:f>
              <c:numCache>
                <c:formatCode>_(* #,##0.00_);_(* \(#,##0.00\);_(* "-"??_);_(@_)</c:formatCode>
                <c:ptCount val="4"/>
                <c:pt idx="0">
                  <c:v>47.298878000000002</c:v>
                </c:pt>
                <c:pt idx="1">
                  <c:v>37.220790000000001</c:v>
                </c:pt>
                <c:pt idx="2">
                  <c:v>47.765099999999997</c:v>
                </c:pt>
                <c:pt idx="3">
                  <c:v>4.8803000000000001</c:v>
                </c:pt>
              </c:numCache>
            </c:numRef>
          </c:val>
          <c:extLst>
            <c:ext xmlns:c16="http://schemas.microsoft.com/office/drawing/2014/chart" uri="{C3380CC4-5D6E-409C-BE32-E72D297353CC}">
              <c16:uniqueId val="{00000000-CA56-4149-ADFC-CF842A96FC0B}"/>
            </c:ext>
          </c:extLst>
        </c:ser>
        <c:dLbls>
          <c:showLegendKey val="0"/>
          <c:showVal val="0"/>
          <c:showCatName val="0"/>
          <c:showSerName val="0"/>
          <c:showPercent val="0"/>
          <c:showBubbleSize val="0"/>
        </c:dLbls>
        <c:gapWidth val="219"/>
        <c:overlap val="-27"/>
        <c:axId val="20480128"/>
        <c:axId val="20492608"/>
      </c:barChart>
      <c:catAx>
        <c:axId val="204801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20492608"/>
        <c:crosses val="autoZero"/>
        <c:auto val="1"/>
        <c:lblAlgn val="ctr"/>
        <c:lblOffset val="100"/>
        <c:noMultiLvlLbl val="0"/>
      </c:catAx>
      <c:valAx>
        <c:axId val="20492608"/>
        <c:scaling>
          <c:orientation val="minMax"/>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2048012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2"/>
          <c:order val="0"/>
          <c:tx>
            <c:strRef>
              <c:f>'Fig 7.1 Years to Delivery'!$N$6</c:f>
              <c:strCache>
                <c:ptCount val="1"/>
                <c:pt idx="0">
                  <c:v>Average Years (latest)</c:v>
                </c:pt>
              </c:strCache>
            </c:strRef>
          </c:tx>
          <c:spPr>
            <a:ln w="28575" cap="rnd">
              <a:solidFill>
                <a:schemeClr val="accent1">
                  <a:lumMod val="60000"/>
                  <a:lumOff val="40000"/>
                </a:schemeClr>
              </a:solidFill>
              <a:prstDash val="sysDash"/>
              <a:round/>
            </a:ln>
            <a:effectLst/>
          </c:spPr>
          <c:marker>
            <c:symbol val="none"/>
          </c:marker>
          <c:cat>
            <c:numRef>
              <c:f>'Fig 7.1 Years to Delivery'!$L$7:$L$20</c:f>
              <c:numCache>
                <c:formatCode>m/d/yyyy</c:formatCode>
                <c:ptCount val="14"/>
                <c:pt idx="0">
                  <c:v>43983</c:v>
                </c:pt>
                <c:pt idx="1">
                  <c:v>44075</c:v>
                </c:pt>
                <c:pt idx="2">
                  <c:v>44166</c:v>
                </c:pt>
                <c:pt idx="3">
                  <c:v>43891</c:v>
                </c:pt>
                <c:pt idx="4">
                  <c:v>44348</c:v>
                </c:pt>
                <c:pt idx="5">
                  <c:v>44713</c:v>
                </c:pt>
                <c:pt idx="6">
                  <c:v>44805</c:v>
                </c:pt>
                <c:pt idx="7">
                  <c:v>44896</c:v>
                </c:pt>
                <c:pt idx="8">
                  <c:v>44986</c:v>
                </c:pt>
                <c:pt idx="9">
                  <c:v>45078</c:v>
                </c:pt>
                <c:pt idx="10">
                  <c:v>45170</c:v>
                </c:pt>
                <c:pt idx="11">
                  <c:v>45261</c:v>
                </c:pt>
                <c:pt idx="12">
                  <c:v>45352</c:v>
                </c:pt>
                <c:pt idx="13">
                  <c:v>45474</c:v>
                </c:pt>
              </c:numCache>
            </c:numRef>
          </c:cat>
          <c:val>
            <c:numRef>
              <c:f>'Fig 7.1 Years to Delivery'!$N$7:$N$20</c:f>
              <c:numCache>
                <c:formatCode>0.0</c:formatCode>
                <c:ptCount val="14"/>
                <c:pt idx="0">
                  <c:v>6.333333333333333</c:v>
                </c:pt>
                <c:pt idx="1">
                  <c:v>5.5</c:v>
                </c:pt>
                <c:pt idx="2">
                  <c:v>2.75</c:v>
                </c:pt>
                <c:pt idx="3">
                  <c:v>3</c:v>
                </c:pt>
                <c:pt idx="4">
                  <c:v>4.9523809523809526</c:v>
                </c:pt>
                <c:pt idx="5">
                  <c:v>4.25</c:v>
                </c:pt>
                <c:pt idx="6">
                  <c:v>4.25</c:v>
                </c:pt>
                <c:pt idx="7">
                  <c:v>4.375</c:v>
                </c:pt>
                <c:pt idx="8">
                  <c:v>3</c:v>
                </c:pt>
                <c:pt idx="9">
                  <c:v>2.8333333333333335</c:v>
                </c:pt>
                <c:pt idx="10">
                  <c:v>6.25</c:v>
                </c:pt>
                <c:pt idx="11">
                  <c:v>5.5333333333333332</c:v>
                </c:pt>
                <c:pt idx="12">
                  <c:v>4</c:v>
                </c:pt>
                <c:pt idx="13">
                  <c:v>3.3125</c:v>
                </c:pt>
              </c:numCache>
            </c:numRef>
          </c:val>
          <c:smooth val="0"/>
          <c:extLst>
            <c:ext xmlns:c16="http://schemas.microsoft.com/office/drawing/2014/chart" uri="{C3380CC4-5D6E-409C-BE32-E72D297353CC}">
              <c16:uniqueId val="{00000000-81D1-49E2-ACA4-93D776125CDB}"/>
            </c:ext>
          </c:extLst>
        </c:ser>
        <c:ser>
          <c:idx val="0"/>
          <c:order val="1"/>
          <c:tx>
            <c:strRef>
              <c:f>'Fig 7.1 Years to Delivery'!$O$6</c:f>
              <c:strCache>
                <c:ptCount val="1"/>
                <c:pt idx="0">
                  <c:v>Estimated Years</c:v>
                </c:pt>
              </c:strCache>
            </c:strRef>
          </c:tx>
          <c:spPr>
            <a:ln w="28575" cap="rnd">
              <a:solidFill>
                <a:schemeClr val="accent1"/>
              </a:solidFill>
              <a:round/>
            </a:ln>
            <a:effectLst/>
          </c:spPr>
          <c:marker>
            <c:symbol val="none"/>
          </c:marker>
          <c:cat>
            <c:numRef>
              <c:f>'Fig 7.1 Years to Delivery'!$L$7:$L$20</c:f>
              <c:numCache>
                <c:formatCode>m/d/yyyy</c:formatCode>
                <c:ptCount val="14"/>
                <c:pt idx="0">
                  <c:v>43983</c:v>
                </c:pt>
                <c:pt idx="1">
                  <c:v>44075</c:v>
                </c:pt>
                <c:pt idx="2">
                  <c:v>44166</c:v>
                </c:pt>
                <c:pt idx="3">
                  <c:v>43891</c:v>
                </c:pt>
                <c:pt idx="4">
                  <c:v>44348</c:v>
                </c:pt>
                <c:pt idx="5">
                  <c:v>44713</c:v>
                </c:pt>
                <c:pt idx="6">
                  <c:v>44805</c:v>
                </c:pt>
                <c:pt idx="7">
                  <c:v>44896</c:v>
                </c:pt>
                <c:pt idx="8">
                  <c:v>44986</c:v>
                </c:pt>
                <c:pt idx="9">
                  <c:v>45078</c:v>
                </c:pt>
                <c:pt idx="10">
                  <c:v>45170</c:v>
                </c:pt>
                <c:pt idx="11">
                  <c:v>45261</c:v>
                </c:pt>
                <c:pt idx="12">
                  <c:v>45352</c:v>
                </c:pt>
                <c:pt idx="13">
                  <c:v>45474</c:v>
                </c:pt>
              </c:numCache>
            </c:numRef>
          </c:cat>
          <c:val>
            <c:numRef>
              <c:f>'Fig 7.1 Years to Delivery'!$O$7:$O$20</c:f>
              <c:numCache>
                <c:formatCode>0.0</c:formatCode>
                <c:ptCount val="14"/>
                <c:pt idx="0">
                  <c:v>5</c:v>
                </c:pt>
                <c:pt idx="1">
                  <c:v>3.5</c:v>
                </c:pt>
                <c:pt idx="2">
                  <c:v>2.0625</c:v>
                </c:pt>
                <c:pt idx="3">
                  <c:v>2</c:v>
                </c:pt>
                <c:pt idx="4">
                  <c:v>3.1904761904761907</c:v>
                </c:pt>
                <c:pt idx="5">
                  <c:v>3.125</c:v>
                </c:pt>
                <c:pt idx="6">
                  <c:v>2.875</c:v>
                </c:pt>
                <c:pt idx="7">
                  <c:v>2.8125</c:v>
                </c:pt>
                <c:pt idx="8">
                  <c:v>2</c:v>
                </c:pt>
                <c:pt idx="9">
                  <c:v>2.1666666666666665</c:v>
                </c:pt>
                <c:pt idx="10">
                  <c:v>4.625</c:v>
                </c:pt>
                <c:pt idx="11">
                  <c:v>3.7333333333333334</c:v>
                </c:pt>
                <c:pt idx="12">
                  <c:v>2.5</c:v>
                </c:pt>
                <c:pt idx="13">
                  <c:v>2.53125</c:v>
                </c:pt>
              </c:numCache>
            </c:numRef>
          </c:val>
          <c:smooth val="0"/>
          <c:extLst>
            <c:ext xmlns:c16="http://schemas.microsoft.com/office/drawing/2014/chart" uri="{C3380CC4-5D6E-409C-BE32-E72D297353CC}">
              <c16:uniqueId val="{00000001-81D1-49E2-ACA4-93D776125CDB}"/>
            </c:ext>
          </c:extLst>
        </c:ser>
        <c:ser>
          <c:idx val="1"/>
          <c:order val="2"/>
          <c:tx>
            <c:strRef>
              <c:f>'Fig 7.1 Years to Delivery'!$M$6</c:f>
              <c:strCache>
                <c:ptCount val="1"/>
                <c:pt idx="0">
                  <c:v>Average Years (earliest)</c:v>
                </c:pt>
              </c:strCache>
            </c:strRef>
          </c:tx>
          <c:spPr>
            <a:ln w="28575" cap="rnd">
              <a:solidFill>
                <a:schemeClr val="accent1">
                  <a:lumMod val="60000"/>
                  <a:lumOff val="40000"/>
                </a:schemeClr>
              </a:solidFill>
              <a:prstDash val="lgDash"/>
              <a:round/>
            </a:ln>
            <a:effectLst/>
          </c:spPr>
          <c:marker>
            <c:symbol val="none"/>
          </c:marker>
          <c:cat>
            <c:numRef>
              <c:f>'Fig 7.1 Years to Delivery'!$L$7:$L$20</c:f>
              <c:numCache>
                <c:formatCode>m/d/yyyy</c:formatCode>
                <c:ptCount val="14"/>
                <c:pt idx="0">
                  <c:v>43983</c:v>
                </c:pt>
                <c:pt idx="1">
                  <c:v>44075</c:v>
                </c:pt>
                <c:pt idx="2">
                  <c:v>44166</c:v>
                </c:pt>
                <c:pt idx="3">
                  <c:v>43891</c:v>
                </c:pt>
                <c:pt idx="4">
                  <c:v>44348</c:v>
                </c:pt>
                <c:pt idx="5">
                  <c:v>44713</c:v>
                </c:pt>
                <c:pt idx="6">
                  <c:v>44805</c:v>
                </c:pt>
                <c:pt idx="7">
                  <c:v>44896</c:v>
                </c:pt>
                <c:pt idx="8">
                  <c:v>44986</c:v>
                </c:pt>
                <c:pt idx="9">
                  <c:v>45078</c:v>
                </c:pt>
                <c:pt idx="10">
                  <c:v>45170</c:v>
                </c:pt>
                <c:pt idx="11">
                  <c:v>45261</c:v>
                </c:pt>
                <c:pt idx="12">
                  <c:v>45352</c:v>
                </c:pt>
                <c:pt idx="13">
                  <c:v>45474</c:v>
                </c:pt>
              </c:numCache>
            </c:numRef>
          </c:cat>
          <c:val>
            <c:numRef>
              <c:f>'Fig 7.1 Years to Delivery'!$M$7:$M$20</c:f>
              <c:numCache>
                <c:formatCode>0.0</c:formatCode>
                <c:ptCount val="14"/>
                <c:pt idx="0">
                  <c:v>3.6666666666666665</c:v>
                </c:pt>
                <c:pt idx="1">
                  <c:v>1.5</c:v>
                </c:pt>
                <c:pt idx="2">
                  <c:v>1.375</c:v>
                </c:pt>
                <c:pt idx="3">
                  <c:v>1</c:v>
                </c:pt>
                <c:pt idx="4">
                  <c:v>1.4285714285714286</c:v>
                </c:pt>
                <c:pt idx="5">
                  <c:v>2</c:v>
                </c:pt>
                <c:pt idx="6">
                  <c:v>1.5</c:v>
                </c:pt>
                <c:pt idx="7">
                  <c:v>1.25</c:v>
                </c:pt>
                <c:pt idx="8">
                  <c:v>1</c:v>
                </c:pt>
                <c:pt idx="9">
                  <c:v>1.5</c:v>
                </c:pt>
                <c:pt idx="10">
                  <c:v>3</c:v>
                </c:pt>
                <c:pt idx="11">
                  <c:v>1.9333333333333333</c:v>
                </c:pt>
                <c:pt idx="12">
                  <c:v>1</c:v>
                </c:pt>
                <c:pt idx="13">
                  <c:v>1.75</c:v>
                </c:pt>
              </c:numCache>
            </c:numRef>
          </c:val>
          <c:smooth val="0"/>
          <c:extLst>
            <c:ext xmlns:c16="http://schemas.microsoft.com/office/drawing/2014/chart" uri="{C3380CC4-5D6E-409C-BE32-E72D297353CC}">
              <c16:uniqueId val="{00000002-81D1-49E2-ACA4-93D776125CDB}"/>
            </c:ext>
          </c:extLst>
        </c:ser>
        <c:dLbls>
          <c:showLegendKey val="0"/>
          <c:showVal val="0"/>
          <c:showCatName val="0"/>
          <c:showSerName val="0"/>
          <c:showPercent val="0"/>
          <c:showBubbleSize val="0"/>
        </c:dLbls>
        <c:smooth val="0"/>
        <c:axId val="117223903"/>
        <c:axId val="117224863"/>
      </c:lineChart>
      <c:dateAx>
        <c:axId val="117223903"/>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7224863"/>
        <c:crosses val="autoZero"/>
        <c:auto val="1"/>
        <c:lblOffset val="100"/>
        <c:baseTimeUnit val="months"/>
      </c:dateAx>
      <c:valAx>
        <c:axId val="117224863"/>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crossAx val="117223903"/>
        <c:crosses val="autoZero"/>
        <c:crossBetween val="between"/>
      </c:valAx>
      <c:spPr>
        <a:noFill/>
        <a:ln>
          <a:noFill/>
        </a:ln>
        <a:effectLst/>
      </c:spPr>
    </c:plotArea>
    <c:legend>
      <c:legendPos val="b"/>
      <c:layout>
        <c:manualLayout>
          <c:xMode val="edge"/>
          <c:yMode val="edge"/>
          <c:x val="0.39459710754779137"/>
          <c:y val="2.6762125031400781E-3"/>
          <c:w val="0.34366213459147571"/>
          <c:h val="0.19125834773165917"/>
        </c:manualLayout>
      </c:layout>
      <c:overlay val="1"/>
      <c:spPr>
        <a:solidFill>
          <a:schemeClr val="bg1"/>
        </a:solidFill>
        <a:ln>
          <a:noFill/>
        </a:ln>
        <a:effectLst/>
      </c:spPr>
      <c:txPr>
        <a:bodyPr rot="0" spcFirstLastPara="1" vertOverflow="ellipsis" vert="horz" wrap="square" anchor="ctr" anchorCtr="1"/>
        <a:lstStyle/>
        <a:p>
          <a:pPr>
            <a:defRPr sz="1600" b="0" i="0" u="none" strike="noStrike" kern="1200"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 dir="row">_xlchart.v1.8</cx:f>
      </cx:strDim>
      <cx:numDim type="val">
        <cx:f dir="row">_xlchart.v1.9</cx:f>
      </cx:numDim>
    </cx:data>
  </cx:chartData>
  <cx:chart>
    <cx:title pos="t" align="ctr" overlay="0">
      <cx:tx>
        <cx:txData>
          <cx:v>Combat Aircraft</cx:v>
        </cx:txData>
      </cx:tx>
      <cx:txPr>
        <a:bodyPr spcFirstLastPara="1" vertOverflow="ellipsis" horzOverflow="overflow" wrap="square" lIns="0" tIns="0" rIns="0" bIns="0" anchor="ctr" anchorCtr="1"/>
        <a:lstStyle/>
        <a:p>
          <a:pPr algn="ctr" rtl="0">
            <a:defRPr sz="2000" b="1"/>
          </a:pPr>
          <a:r>
            <a:rPr lang="en-US" sz="2000" b="1" i="0" u="none" strike="noStrike"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rPr>
            <a:t>Combat Aircraft</a:t>
          </a:r>
        </a:p>
      </cx:txPr>
    </cx:title>
    <cx:plotArea>
      <cx:plotAreaRegion>
        <cx:series layoutId="waterfall" uniqueId="{F4C78BFE-7F7A-4909-A04C-55353D178647}">
          <cx:dataPt idx="0">
            <cx:spPr>
              <a:solidFill>
                <a:srgbClr val="156082"/>
              </a:solidFill>
              <a:ln w="9525">
                <a:solidFill>
                  <a:sysClr val="windowText" lastClr="000000"/>
                </a:solidFill>
              </a:ln>
            </cx:spPr>
          </cx:dataPt>
          <cx:dataPt idx="1">
            <cx:spPr>
              <a:pattFill prst="pct90">
                <a:fgClr>
                  <a:srgbClr val="A02B93"/>
                </a:fgClr>
                <a:bgClr>
                  <a:sysClr val="window" lastClr="FFFFFF"/>
                </a:bgClr>
              </a:pattFill>
              <a:ln w="9525">
                <a:solidFill>
                  <a:sysClr val="windowText" lastClr="000000"/>
                </a:solidFill>
              </a:ln>
            </cx:spPr>
          </cx:dataPt>
          <cx:dataPt idx="3">
            <cx:spPr>
              <a:solidFill>
                <a:srgbClr val="156082"/>
              </a:solidFill>
              <a:ln w="9525">
                <a:solidFill>
                  <a:sysClr val="windowText" lastClr="000000"/>
                </a:solidFill>
              </a:ln>
            </cx:spPr>
          </cx:dataPt>
          <cx:dataLabels pos="outEnd">
            <cx:txPr>
              <a:bodyPr spcFirstLastPara="1" vertOverflow="ellipsis" horzOverflow="overflow" wrap="square" lIns="0" tIns="0" rIns="0" bIns="0" anchor="ctr" anchorCtr="1"/>
              <a:lstStyle/>
              <a:p>
                <a:pPr algn="ctr" rtl="0">
                  <a:defRPr sz="1600" b="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sz="1600" b="0" i="0" u="none" strike="noStrike"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endParaRPr>
              </a:p>
            </cx:txPr>
            <cx:visibility seriesName="0" categoryName="0" value="1"/>
            <cx:dataLabel idx="0">
              <cx:txPr>
                <a:bodyPr spcFirstLastPara="1" vertOverflow="ellipsis" horzOverflow="overflow" wrap="square" lIns="0" tIns="0" rIns="0" bIns="0" anchor="ctr" anchorCtr="1"/>
                <a:lstStyle/>
                <a:p>
                  <a:pPr algn="ctr" rtl="0">
                    <a:defRPr sz="1600"/>
                  </a:pPr>
                  <a:r>
                    <a:rPr lang="en-US" sz="1600" b="0" i="0" u="none" strike="noStrike"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rPr>
                    <a:t>226</a:t>
                  </a:r>
                </a:p>
              </cx:txPr>
              <cx:visibility seriesName="0" categoryName="0" value="1"/>
            </cx:dataLabel>
            <cx:dataLabel idx="1">
              <cx:txPr>
                <a:bodyPr spcFirstLastPara="1" vertOverflow="ellipsis" horzOverflow="overflow" wrap="square" lIns="0" tIns="0" rIns="0" bIns="0" anchor="ctr" anchorCtr="1"/>
                <a:lstStyle/>
                <a:p>
                  <a:pPr algn="ctr" rtl="0">
                    <a:defRPr sz="1600" b="0"/>
                  </a:pPr>
                  <a:r>
                    <a:rPr lang="en-US" sz="1600" b="0" i="0" u="none" strike="noStrike"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rPr>
                    <a:t>35</a:t>
                  </a:r>
                </a:p>
              </cx:txPr>
              <cx:visibility seriesName="0" categoryName="0" value="1"/>
            </cx:dataLabel>
            <cx:dataLabel idx="2">
              <cx:txPr>
                <a:bodyPr spcFirstLastPara="1" vertOverflow="ellipsis" horzOverflow="overflow" wrap="square" lIns="0" tIns="0" rIns="0" bIns="0" anchor="ctr" anchorCtr="1"/>
                <a:lstStyle/>
                <a:p>
                  <a:pPr algn="ctr" rtl="0">
                    <a:defRPr sz="1600" b="0"/>
                  </a:pPr>
                  <a:r>
                    <a:rPr lang="en-US" sz="1600" b="0" i="0" u="none" strike="noStrike"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rPr>
                    <a:t>0</a:t>
                  </a:r>
                </a:p>
              </cx:txPr>
              <cx:visibility seriesName="0" categoryName="0" value="1"/>
            </cx:dataLabel>
            <cx:dataLabel idx="3">
              <cx:txPr>
                <a:bodyPr spcFirstLastPara="1" vertOverflow="ellipsis" horzOverflow="overflow" wrap="square" lIns="0" tIns="0" rIns="0" bIns="0" anchor="ctr" anchorCtr="1"/>
                <a:lstStyle/>
                <a:p>
                  <a:pPr algn="ctr" rtl="0">
                    <a:defRPr sz="1600"/>
                  </a:pPr>
                  <a:r>
                    <a:rPr lang="en-US" sz="1600" b="0" i="0" u="none" strike="noStrike"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rPr>
                    <a:t>261</a:t>
                  </a:r>
                </a:p>
              </cx:txPr>
              <cx:visibility seriesName="0" categoryName="0" value="1"/>
            </cx:dataLabel>
          </cx:dataLabels>
          <cx:dataId val="0"/>
          <cx:layoutPr>
            <cx:subtotals>
              <cx:idx val="3"/>
            </cx:subtotals>
          </cx:layoutPr>
        </cx:series>
      </cx:plotAreaRegion>
      <cx:axis id="0">
        <cx:catScaling gapWidth="0"/>
        <cx:tickLabels/>
        <cx:txPr>
          <a:bodyPr spcFirstLastPara="1" vertOverflow="ellipsis" horzOverflow="overflow" wrap="square" lIns="0" tIns="0" rIns="0" bIns="0" anchor="ctr" anchorCtr="1"/>
          <a:lstStyle/>
          <a:p>
            <a:pPr algn="ctr" rtl="0">
              <a:defRPr sz="160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defRPr>
            </a:pPr>
            <a:endParaRPr lang="en-US" sz="1600" b="0" i="0" u="none" strike="noStrike"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endParaRPr>
          </a:p>
        </cx:txPr>
      </cx:axis>
      <cx:axis id="1">
        <cx:valScaling/>
        <cx:majorGridlines/>
        <cx:tickLabels/>
        <cx:txPr>
          <a:bodyPr spcFirstLastPara="1" vertOverflow="ellipsis" horzOverflow="overflow" wrap="square" lIns="0" tIns="0" rIns="0" bIns="0" anchor="ctr" anchorCtr="1"/>
          <a:lstStyle/>
          <a:p>
            <a:pPr algn="ctr" rtl="0">
              <a:defRPr sz="160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sz="1600" b="0" i="0" u="none" strike="noStrike"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endParaRPr>
          </a:p>
        </cx:txPr>
      </cx:axis>
    </cx:plotArea>
  </cx:chart>
  <cx:spPr>
    <a:ln>
      <a:noFill/>
    </a:ln>
  </cx:spPr>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 dir="row">_xlchart.v1.2</cx:f>
      </cx:strDim>
      <cx:numDim type="val">
        <cx:f dir="row">_xlchart.v1.3</cx:f>
      </cx:numDim>
    </cx:data>
  </cx:chartData>
  <cx:chart>
    <cx:title pos="t" align="ctr" overlay="0">
      <cx:tx>
        <cx:txData>
          <cx:v>Main Battle Tank</cx:v>
        </cx:txData>
      </cx:tx>
      <cx:txPr>
        <a:bodyPr spcFirstLastPara="1" vertOverflow="ellipsis" horzOverflow="overflow" wrap="square" lIns="0" tIns="0" rIns="0" bIns="0" anchor="ctr" anchorCtr="1"/>
        <a:lstStyle/>
        <a:p>
          <a:pPr algn="ctr" rtl="0">
            <a:defRPr sz="2000"/>
          </a:pPr>
          <a:r>
            <a:rPr lang="en-US" sz="2000" b="1" i="0" u="none" strike="noStrike"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rPr>
            <a:t>Main Battle Tank</a:t>
          </a:r>
        </a:p>
      </cx:txPr>
    </cx:title>
    <cx:plotArea>
      <cx:plotAreaRegion>
        <cx:series layoutId="waterfall" uniqueId="{F1434067-590D-41A3-BA7A-5C8F5C958484}">
          <cx:spPr>
            <a:ln w="9525">
              <a:solidFill>
                <a:sysClr val="windowText" lastClr="000000"/>
              </a:solidFill>
            </a:ln>
          </cx:spPr>
          <cx:dataPt idx="0">
            <cx:spPr>
              <a:solidFill>
                <a:srgbClr val="156082"/>
              </a:solidFill>
            </cx:spPr>
          </cx:dataPt>
          <cx:dataPt idx="1">
            <cx:spPr>
              <a:pattFill prst="pct90">
                <a:fgClr>
                  <a:srgbClr val="A02B93"/>
                </a:fgClr>
                <a:bgClr>
                  <a:sysClr val="window" lastClr="FFFFFF"/>
                </a:bgClr>
              </a:pattFill>
            </cx:spPr>
          </cx:dataPt>
          <cx:dataPt idx="2">
            <cx:spPr>
              <a:pattFill prst="dkVert">
                <a:fgClr>
                  <a:srgbClr val="4EA72E"/>
                </a:fgClr>
                <a:bgClr>
                  <a:sysClr val="window" lastClr="FFFFFF"/>
                </a:bgClr>
              </a:pattFill>
            </cx:spPr>
          </cx:dataPt>
          <cx:dataPt idx="3">
            <cx:spPr>
              <a:solidFill>
                <a:srgbClr val="156082"/>
              </a:solidFill>
            </cx:spPr>
          </cx:dataPt>
          <cx:dataLabels pos="outEnd">
            <cx:spPr>
              <a:solidFill>
                <a:schemeClr val="bg1"/>
              </a:solidFill>
            </cx:spPr>
            <cx:txPr>
              <a:bodyPr spcFirstLastPara="1" vertOverflow="ellipsis" horzOverflow="overflow" wrap="square" lIns="0" tIns="0" rIns="0" bIns="0" anchor="ctr" anchorCtr="1"/>
              <a:lstStyle/>
              <a:p>
                <a:pPr algn="ctr" rtl="0">
                  <a:defRPr sz="160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sz="1600" b="0" i="0" u="none" strike="noStrike"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endParaRPr>
              </a:p>
            </cx:txPr>
            <cx:visibility seriesName="0" categoryName="0" value="1"/>
            <cx:dataLabel idx="0">
              <cx:txPr>
                <a:bodyPr spcFirstLastPara="1" vertOverflow="ellipsis" horzOverflow="overflow" wrap="square" lIns="0" tIns="0" rIns="0" bIns="0" anchor="ctr" anchorCtr="1"/>
                <a:lstStyle/>
                <a:p>
                  <a:pPr algn="ctr" rtl="0">
                    <a:defRPr sz="1600"/>
                  </a:pPr>
                  <a:r>
                    <a:rPr lang="en-US" sz="1600" b="0" i="0" u="none" strike="noStrike"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rPr>
                    <a:t>339</a:t>
                  </a:r>
                </a:p>
              </cx:txPr>
              <cx:visibility seriesName="0" categoryName="0" value="1"/>
            </cx:dataLabel>
          </cx:dataLabels>
          <cx:dataId val="0"/>
          <cx:layoutPr>
            <cx:subtotals>
              <cx:idx val="3"/>
            </cx:subtotals>
          </cx:layoutPr>
        </cx:series>
      </cx:plotAreaRegion>
      <cx:axis id="0">
        <cx:catScaling gapWidth="0"/>
        <cx:tickLabels/>
        <cx:txPr>
          <a:bodyPr spcFirstLastPara="1" vertOverflow="ellipsis" horzOverflow="overflow" wrap="square" lIns="0" tIns="0" rIns="0" bIns="0" anchor="ctr" anchorCtr="1"/>
          <a:lstStyle/>
          <a:p>
            <a:pPr algn="ctr" rtl="0">
              <a:defRPr sz="160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sz="1600" b="0" i="0" u="none" strike="noStrike"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endParaRPr>
          </a:p>
        </cx:txPr>
      </cx:axis>
      <cx:axis id="1">
        <cx:valScaling/>
        <cx:majorGridlines/>
        <cx:tickLabels/>
        <cx:txPr>
          <a:bodyPr spcFirstLastPara="1" vertOverflow="ellipsis" horzOverflow="overflow" wrap="square" lIns="0" tIns="0" rIns="0" bIns="0" anchor="ctr" anchorCtr="1"/>
          <a:lstStyle/>
          <a:p>
            <a:pPr algn="ctr" rtl="0">
              <a:defRPr sz="160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sz="1600" b="0" i="0" u="none" strike="noStrike"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endParaRPr>
          </a:p>
        </cx:txPr>
      </cx:axis>
    </cx:plotArea>
  </cx:chart>
  <cx:spPr>
    <a:ln>
      <a:noFill/>
    </a:ln>
  </cx:spPr>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strDim type="cat">
        <cx:f dir="row">_xlchart.v1.6</cx:f>
      </cx:strDim>
      <cx:numDim type="val">
        <cx:f dir="row">_xlchart.v1.7</cx:f>
      </cx:numDim>
    </cx:data>
  </cx:chartData>
  <cx:chart>
    <cx:title pos="t" align="ctr" overlay="0">
      <cx:tx>
        <cx:txData>
          <cx:v>Infantry Fighting Vehicle</cx:v>
        </cx:txData>
      </cx:tx>
      <cx:txPr>
        <a:bodyPr spcFirstLastPara="1" vertOverflow="ellipsis" horzOverflow="overflow" wrap="square" lIns="0" tIns="0" rIns="0" bIns="0" anchor="ctr" anchorCtr="1"/>
        <a:lstStyle/>
        <a:p>
          <a:pPr algn="ctr" rtl="0">
            <a:defRPr sz="2000"/>
          </a:pPr>
          <a:r>
            <a:rPr lang="en-US" sz="2000" b="1" i="0" u="none" strike="noStrike"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rPr>
            <a:t>Infantry Fighting Vehicle</a:t>
          </a:r>
        </a:p>
      </cx:txPr>
    </cx:title>
    <cx:plotArea>
      <cx:plotAreaRegion>
        <cx:series layoutId="waterfall" uniqueId="{8CA19EA4-FE84-4AD7-BAA3-8D7CBDF1D6C9}">
          <cx:spPr>
            <a:ln w="9525">
              <a:solidFill>
                <a:sysClr val="windowText" lastClr="000000"/>
              </a:solidFill>
            </a:ln>
          </cx:spPr>
          <cx:dataPt idx="0">
            <cx:spPr>
              <a:solidFill>
                <a:srgbClr val="156082"/>
              </a:solidFill>
            </cx:spPr>
          </cx:dataPt>
          <cx:dataPt idx="1">
            <cx:spPr>
              <a:pattFill prst="pct90">
                <a:fgClr>
                  <a:srgbClr val="A02B93"/>
                </a:fgClr>
                <a:bgClr>
                  <a:sysClr val="window" lastClr="FFFFFF"/>
                </a:bgClr>
              </a:pattFill>
            </cx:spPr>
          </cx:dataPt>
          <cx:dataPt idx="2">
            <cx:spPr>
              <a:pattFill prst="dkVert">
                <a:fgClr>
                  <a:srgbClr val="4EA72E"/>
                </a:fgClr>
                <a:bgClr>
                  <a:sysClr val="window" lastClr="FFFFFF"/>
                </a:bgClr>
              </a:pattFill>
            </cx:spPr>
          </cx:dataPt>
          <cx:dataPt idx="3">
            <cx:spPr>
              <a:solidFill>
                <a:srgbClr val="156082"/>
              </a:solidFill>
            </cx:spPr>
          </cx:dataPt>
          <cx:dataLabels pos="outEnd">
            <cx:spPr>
              <a:solidFill>
                <a:sysClr val="window" lastClr="FFFFFF"/>
              </a:solidFill>
            </cx:spPr>
            <cx:txPr>
              <a:bodyPr spcFirstLastPara="1" vertOverflow="ellipsis" horzOverflow="overflow" wrap="square" lIns="0" tIns="0" rIns="0" bIns="0" anchor="ctr" anchorCtr="1"/>
              <a:lstStyle/>
              <a:p>
                <a:pPr algn="ctr" rtl="0">
                  <a:defRPr sz="1600">
                    <a:latin typeface="Calibri Light" panose="020F0302020204030204" pitchFamily="34" charset="0"/>
                    <a:ea typeface="Calibri Light" panose="020F0302020204030204" pitchFamily="34" charset="0"/>
                    <a:cs typeface="Calibri Light" panose="020F0302020204030204" pitchFamily="34" charset="0"/>
                  </a:defRPr>
                </a:pPr>
                <a:endParaRPr lang="en-US" sz="1600" b="0" i="0" u="none" strike="noStrike" baseline="0">
                  <a:solidFill>
                    <a:sysClr val="windowText" lastClr="000000">
                      <a:lumMod val="65000"/>
                      <a:lumOff val="35000"/>
                    </a:sysClr>
                  </a:solidFill>
                  <a:latin typeface="Calibri Light" panose="020F0302020204030204" pitchFamily="34" charset="0"/>
                  <a:ea typeface="Calibri Light" panose="020F0302020204030204" pitchFamily="34" charset="0"/>
                  <a:cs typeface="Calibri Light" panose="020F0302020204030204" pitchFamily="34" charset="0"/>
                </a:endParaRPr>
              </a:p>
            </cx:txPr>
            <cx:visibility seriesName="0" categoryName="0" value="1"/>
            <cx:dataLabel idx="0">
              <cx:txPr>
                <a:bodyPr spcFirstLastPara="1" vertOverflow="ellipsis" horzOverflow="overflow" wrap="square" lIns="0" tIns="0" rIns="0" bIns="0" anchor="ctr" anchorCtr="1"/>
                <a:lstStyle/>
                <a:p>
                  <a:pPr algn="ctr" rtl="0">
                    <a:defRPr sz="1600">
                      <a:solidFill>
                        <a:sysClr val="windowText" lastClr="000000"/>
                      </a:solidFill>
                    </a:defRPr>
                  </a:pPr>
                  <a:r>
                    <a:rPr lang="en-US" sz="1600" b="0" i="0" u="none" strike="noStrike"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rPr>
                    <a:t>674</a:t>
                  </a:r>
                </a:p>
              </cx:txPr>
              <cx:visibility seriesName="0" categoryName="0" value="1"/>
            </cx:dataLabel>
            <cx:dataLabel idx="1">
              <cx:txPr>
                <a:bodyPr spcFirstLastPara="1" vertOverflow="ellipsis" horzOverflow="overflow" wrap="square" lIns="0" tIns="0" rIns="0" bIns="0" anchor="ctr" anchorCtr="1"/>
                <a:lstStyle/>
                <a:p>
                  <a:pPr algn="ctr" rtl="0">
                    <a:defRPr sz="1600">
                      <a:solidFill>
                        <a:sysClr val="windowText" lastClr="000000"/>
                      </a:solidFill>
                    </a:defRPr>
                  </a:pPr>
                  <a:r>
                    <a:rPr lang="en-US" sz="1600" b="0" i="0" u="none" strike="noStrike"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rPr>
                    <a:t>193</a:t>
                  </a:r>
                </a:p>
              </cx:txPr>
              <cx:visibility seriesName="0" categoryName="0" value="1"/>
            </cx:dataLabel>
            <cx:dataLabel idx="2">
              <cx:txPr>
                <a:bodyPr spcFirstLastPara="1" vertOverflow="ellipsis" horzOverflow="overflow" wrap="square" lIns="0" tIns="0" rIns="0" bIns="0" anchor="ctr" anchorCtr="1"/>
                <a:lstStyle/>
                <a:p>
                  <a:pPr algn="ctr" rtl="0">
                    <a:defRPr sz="1600">
                      <a:solidFill>
                        <a:sysClr val="windowText" lastClr="000000"/>
                      </a:solidFill>
                    </a:defRPr>
                  </a:pPr>
                  <a:r>
                    <a:rPr lang="en-US" sz="1600" b="0" i="0" u="none" strike="noStrike"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rPr>
                    <a:t>-140</a:t>
                  </a:r>
                </a:p>
              </cx:txPr>
              <cx:visibility seriesName="0" categoryName="0" value="1"/>
            </cx:dataLabel>
            <cx:dataLabel idx="3">
              <cx:txPr>
                <a:bodyPr spcFirstLastPara="1" vertOverflow="ellipsis" horzOverflow="overflow" wrap="square" lIns="0" tIns="0" rIns="0" bIns="0" anchor="ctr" anchorCtr="1"/>
                <a:lstStyle/>
                <a:p>
                  <a:pPr algn="ctr" rtl="0">
                    <a:defRPr sz="1600">
                      <a:solidFill>
                        <a:sysClr val="windowText" lastClr="000000"/>
                      </a:solidFill>
                    </a:defRPr>
                  </a:pPr>
                  <a:r>
                    <a:rPr lang="en-US" sz="1600" b="0" i="0" u="none" strike="noStrike"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rPr>
                    <a:t>727</a:t>
                  </a:r>
                </a:p>
              </cx:txPr>
              <cx:visibility seriesName="0" categoryName="0" value="1"/>
            </cx:dataLabel>
          </cx:dataLabels>
          <cx:dataId val="0"/>
          <cx:layoutPr>
            <cx:subtotals>
              <cx:idx val="3"/>
            </cx:subtotals>
          </cx:layoutPr>
        </cx:series>
      </cx:plotAreaRegion>
      <cx:axis id="0">
        <cx:catScaling gapWidth="0"/>
        <cx:tickLabels/>
        <cx:txPr>
          <a:bodyPr spcFirstLastPara="1" vertOverflow="ellipsis" horzOverflow="overflow" wrap="square" lIns="0" tIns="0" rIns="0" bIns="0" anchor="ctr" anchorCtr="1"/>
          <a:lstStyle/>
          <a:p>
            <a:pPr algn="ctr" rtl="0">
              <a:defRPr sz="160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sz="1600" b="0" i="0" u="none" strike="noStrike"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endParaRPr>
          </a:p>
        </cx:txPr>
      </cx:axis>
      <cx:axis id="1">
        <cx:valScaling/>
        <cx:majorGridlines/>
        <cx:tickLabels/>
        <cx:txPr>
          <a:bodyPr spcFirstLastPara="1" vertOverflow="ellipsis" horzOverflow="overflow" wrap="square" lIns="0" tIns="0" rIns="0" bIns="0" anchor="ctr" anchorCtr="1"/>
          <a:lstStyle/>
          <a:p>
            <a:pPr algn="ctr" rtl="0">
              <a:defRPr sz="160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sz="1600" b="0" i="0" u="none" strike="noStrike"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endParaRPr>
          </a:p>
        </cx:txPr>
      </cx:axis>
    </cx:plotArea>
  </cx:chart>
  <cx:spPr>
    <a:ln>
      <a:noFill/>
    </a:ln>
  </cx:spPr>
</cx:chartSpace>
</file>

<file path=xl/charts/chartEx4.xml><?xml version="1.0" encoding="utf-8"?>
<cx:chartSpace xmlns:a="http://schemas.openxmlformats.org/drawingml/2006/main" xmlns:r="http://schemas.openxmlformats.org/officeDocument/2006/relationships" xmlns:cx="http://schemas.microsoft.com/office/drawing/2014/chartex">
  <cx:chartData>
    <cx:data id="0">
      <cx:strDim type="cat">
        <cx:f dir="row">_xlchart.v1.1</cx:f>
      </cx:strDim>
      <cx:numDim type="val">
        <cx:f dir="row">_xlchart.v1.0</cx:f>
      </cx:numDim>
    </cx:data>
  </cx:chartData>
  <cx:chart>
    <cx:title pos="t" align="ctr" overlay="0">
      <cx:tx>
        <cx:txData>
          <cx:v>Other Armoured Vehicle</cx:v>
        </cx:txData>
      </cx:tx>
      <cx:txPr>
        <a:bodyPr spcFirstLastPara="1" vertOverflow="ellipsis" horzOverflow="overflow" wrap="square" lIns="0" tIns="0" rIns="0" bIns="0" anchor="ctr" anchorCtr="1"/>
        <a:lstStyle/>
        <a:p>
          <a:pPr algn="ctr" rtl="0">
            <a:defRPr sz="2000">
              <a:solidFill>
                <a:sysClr val="windowText" lastClr="000000"/>
              </a:solidFill>
            </a:defRPr>
          </a:pPr>
          <a:r>
            <a:rPr lang="en-US" sz="2000" b="1" i="0" u="none" strike="noStrike"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rPr>
            <a:t>Other Armoured Vehicle</a:t>
          </a:r>
        </a:p>
      </cx:txPr>
    </cx:title>
    <cx:plotArea>
      <cx:plotAreaRegion>
        <cx:series layoutId="waterfall" uniqueId="{DF1F9513-001C-45EB-82CB-AD4B7573029C}">
          <cx:dataPt idx="0">
            <cx:spPr>
              <a:solidFill>
                <a:srgbClr val="156082"/>
              </a:solidFill>
              <a:ln w="9525">
                <a:solidFill>
                  <a:sysClr val="windowText" lastClr="000000"/>
                </a:solidFill>
              </a:ln>
            </cx:spPr>
          </cx:dataPt>
          <cx:dataPt idx="1">
            <cx:spPr>
              <a:pattFill prst="pct90">
                <a:fgClr>
                  <a:srgbClr val="A02B93"/>
                </a:fgClr>
                <a:bgClr>
                  <a:sysClr val="window" lastClr="FFFFFF"/>
                </a:bgClr>
              </a:pattFill>
              <a:ln w="9525">
                <a:solidFill>
                  <a:sysClr val="windowText" lastClr="000000"/>
                </a:solidFill>
              </a:ln>
            </cx:spPr>
          </cx:dataPt>
          <cx:dataPt idx="2">
            <cx:spPr>
              <a:pattFill prst="dkVert">
                <a:fgClr>
                  <a:srgbClr val="4EA72E"/>
                </a:fgClr>
                <a:bgClr>
                  <a:sysClr val="window" lastClr="FFFFFF"/>
                </a:bgClr>
              </a:pattFill>
              <a:ln w="9525">
                <a:solidFill>
                  <a:sysClr val="windowText" lastClr="000000"/>
                </a:solidFill>
              </a:ln>
            </cx:spPr>
          </cx:dataPt>
          <cx:dataPt idx="3">
            <cx:spPr>
              <a:solidFill>
                <a:srgbClr val="156082"/>
              </a:solidFill>
              <a:ln w="9525">
                <a:solidFill>
                  <a:sysClr val="windowText" lastClr="000000"/>
                </a:solidFill>
              </a:ln>
            </cx:spPr>
          </cx:dataPt>
          <cx:dataLabels pos="outEnd">
            <cx:spPr>
              <a:solidFill>
                <a:schemeClr val="bg1"/>
              </a:solidFill>
            </cx:spPr>
            <cx:txPr>
              <a:bodyPr spcFirstLastPara="1" vertOverflow="ellipsis" horzOverflow="overflow" wrap="square" lIns="0" tIns="0" rIns="0" bIns="0" anchor="ctr" anchorCtr="1"/>
              <a:lstStyle/>
              <a:p>
                <a:pPr algn="ctr" rtl="0">
                  <a:defRPr sz="1600" b="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defRPr>
                </a:pPr>
                <a:endParaRPr lang="en-US" sz="1600" b="0" i="0" u="none" strike="noStrike"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endParaRPr>
              </a:p>
            </cx:txPr>
            <cx:visibility seriesName="0" categoryName="0" value="1"/>
            <cx:dataLabel idx="0">
              <cx:txPr>
                <a:bodyPr spcFirstLastPara="1" vertOverflow="ellipsis" horzOverflow="overflow" wrap="square" lIns="0" tIns="0" rIns="0" bIns="0" anchor="ctr" anchorCtr="1"/>
                <a:lstStyle/>
                <a:p>
                  <a:pPr algn="ctr" rtl="0">
                    <a:defRPr sz="1600"/>
                  </a:pPr>
                  <a:r>
                    <a:rPr lang="en-US" sz="1600" b="0" i="0" u="none" strike="noStrike"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rPr>
                    <a:t>2067</a:t>
                  </a:r>
                </a:p>
              </cx:txPr>
              <cx:visibility seriesName="0" categoryName="0" value="1"/>
            </cx:dataLabel>
            <cx:dataLabel idx="1">
              <cx:txPr>
                <a:bodyPr spcFirstLastPara="1" vertOverflow="ellipsis" horzOverflow="overflow" wrap="square" lIns="0" tIns="0" rIns="0" bIns="0" anchor="ctr" anchorCtr="1"/>
                <a:lstStyle/>
                <a:p>
                  <a:pPr algn="ctr" rtl="0">
                    <a:defRPr sz="1600"/>
                  </a:pPr>
                  <a:r>
                    <a:rPr lang="en-US" sz="1600" b="0" i="0" u="none" strike="noStrike"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rPr>
                    <a:t>1925</a:t>
                  </a:r>
                </a:p>
              </cx:txPr>
              <cx:visibility seriesName="0" categoryName="0" value="1"/>
            </cx:dataLabel>
            <cx:dataLabel idx="3">
              <cx:txPr>
                <a:bodyPr spcFirstLastPara="1" vertOverflow="ellipsis" horzOverflow="overflow" wrap="square" lIns="0" tIns="0" rIns="0" bIns="0" anchor="ctr" anchorCtr="1"/>
                <a:lstStyle/>
                <a:p>
                  <a:pPr algn="ctr" rtl="0">
                    <a:defRPr sz="1600"/>
                  </a:pPr>
                  <a:r>
                    <a:rPr lang="en-US" sz="1600" b="0" i="0" u="none" strike="noStrike"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rPr>
                    <a:t>3753</a:t>
                  </a:r>
                </a:p>
              </cx:txPr>
              <cx:visibility seriesName="0" categoryName="0" value="1"/>
            </cx:dataLabel>
          </cx:dataLabels>
          <cx:dataId val="0"/>
          <cx:layoutPr>
            <cx:subtotals>
              <cx:idx val="3"/>
            </cx:subtotals>
          </cx:layoutPr>
        </cx:series>
      </cx:plotAreaRegion>
      <cx:axis id="0">
        <cx:catScaling gapWidth="0"/>
        <cx:tickLabels/>
        <cx:txPr>
          <a:bodyPr spcFirstLastPara="1" vertOverflow="ellipsis" horzOverflow="overflow" wrap="square" lIns="0" tIns="0" rIns="0" bIns="0" anchor="ctr" anchorCtr="1"/>
          <a:lstStyle/>
          <a:p>
            <a:pPr algn="ctr" rtl="0">
              <a:defRPr sz="160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defRPr>
            </a:pPr>
            <a:endParaRPr lang="en-US" sz="1600" b="0" i="0" u="none" strike="noStrike"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endParaRPr>
          </a:p>
        </cx:txPr>
      </cx:axis>
      <cx:axis id="1">
        <cx:valScaling/>
        <cx:majorGridlines/>
        <cx:tickLabels/>
        <cx:txPr>
          <a:bodyPr spcFirstLastPara="1" vertOverflow="ellipsis" horzOverflow="overflow" wrap="square" lIns="0" tIns="0" rIns="0" bIns="0" anchor="ctr" anchorCtr="1"/>
          <a:lstStyle/>
          <a:p>
            <a:pPr algn="ctr" rtl="0">
              <a:defRPr sz="160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defRPr>
            </a:pPr>
            <a:endParaRPr lang="en-US" sz="1600" b="0" i="0" u="none" strike="noStrike"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endParaRPr>
          </a:p>
        </cx:txPr>
      </cx:axis>
    </cx:plotArea>
  </cx:chart>
  <cx:spPr>
    <a:ln>
      <a:noFill/>
    </a:ln>
  </cx:spPr>
</cx:chartSpace>
</file>

<file path=xl/charts/chartEx5.xml><?xml version="1.0" encoding="utf-8"?>
<cx:chartSpace xmlns:a="http://schemas.openxmlformats.org/drawingml/2006/main" xmlns:r="http://schemas.openxmlformats.org/officeDocument/2006/relationships" xmlns:cx="http://schemas.microsoft.com/office/drawing/2014/chartex">
  <cx:chartData>
    <cx:data id="0">
      <cx:strDim type="cat">
        <cx:f dir="row">_xlchart.v1.5</cx:f>
      </cx:strDim>
      <cx:numDim type="val">
        <cx:f dir="row">_xlchart.v1.4</cx:f>
      </cx:numDim>
    </cx:data>
  </cx:chartData>
  <cx:chart>
    <cx:title pos="t" align="ctr" overlay="0">
      <cx:tx>
        <cx:txData>
          <cx:v>Artillery Howitzer</cx:v>
        </cx:txData>
      </cx:tx>
      <cx:txPr>
        <a:bodyPr spcFirstLastPara="1" vertOverflow="ellipsis" horzOverflow="overflow" wrap="square" lIns="0" tIns="0" rIns="0" bIns="0" anchor="ctr" anchorCtr="1"/>
        <a:lstStyle/>
        <a:p>
          <a:pPr algn="ctr" rtl="0">
            <a:defRPr sz="200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defRPr>
          </a:pPr>
          <a:r>
            <a:rPr lang="en-US" sz="2000" b="1" i="0" u="none" strike="noStrike"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rPr>
            <a:t>Artillery Howitzer</a:t>
          </a:r>
        </a:p>
      </cx:txPr>
    </cx:title>
    <cx:plotArea>
      <cx:plotAreaRegion>
        <cx:series layoutId="waterfall" uniqueId="{1A3BF547-64C0-448D-8C1A-BCA3BEF1EFC1}">
          <cx:dataPt idx="0">
            <cx:spPr>
              <a:solidFill>
                <a:srgbClr val="156082"/>
              </a:solidFill>
              <a:ln w="9525">
                <a:solidFill>
                  <a:sysClr val="windowText" lastClr="000000"/>
                </a:solidFill>
              </a:ln>
            </cx:spPr>
          </cx:dataPt>
          <cx:dataPt idx="1">
            <cx:spPr>
              <a:pattFill prst="pct90">
                <a:fgClr>
                  <a:srgbClr val="A02B93"/>
                </a:fgClr>
                <a:bgClr>
                  <a:sysClr val="window" lastClr="FFFFFF"/>
                </a:bgClr>
              </a:pattFill>
              <a:ln w="9525">
                <a:solidFill>
                  <a:sysClr val="windowText" lastClr="000000"/>
                </a:solidFill>
              </a:ln>
            </cx:spPr>
          </cx:dataPt>
          <cx:dataPt idx="2">
            <cx:spPr>
              <a:pattFill prst="dkVert">
                <a:fgClr>
                  <a:srgbClr val="4EA72E"/>
                </a:fgClr>
                <a:bgClr>
                  <a:sysClr val="window" lastClr="FFFFFF"/>
                </a:bgClr>
              </a:pattFill>
              <a:ln w="9525">
                <a:solidFill>
                  <a:sysClr val="windowText" lastClr="000000"/>
                </a:solidFill>
              </a:ln>
            </cx:spPr>
          </cx:dataPt>
          <cx:dataPt idx="3">
            <cx:spPr>
              <a:solidFill>
                <a:srgbClr val="156082"/>
              </a:solidFill>
              <a:ln w="9525">
                <a:solidFill>
                  <a:sysClr val="windowText" lastClr="000000"/>
                </a:solidFill>
              </a:ln>
            </cx:spPr>
          </cx:dataPt>
          <cx:dataLabels pos="outEnd">
            <cx:txPr>
              <a:bodyPr spcFirstLastPara="1" vertOverflow="ellipsis" horzOverflow="overflow" wrap="square" lIns="0" tIns="0" rIns="0" bIns="0" anchor="ctr" anchorCtr="1"/>
              <a:lstStyle/>
              <a:p>
                <a:pPr algn="ctr" rtl="0">
                  <a:defRPr sz="1600" b="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defRPr>
                </a:pPr>
                <a:endParaRPr lang="en-US" sz="1600" b="0" i="0" u="none" strike="noStrike"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endParaRPr>
              </a:p>
            </cx:txPr>
            <cx:visibility seriesName="0" categoryName="0" value="1"/>
            <cx:dataLabel idx="0">
              <cx:txPr>
                <a:bodyPr spcFirstLastPara="1" vertOverflow="ellipsis" horzOverflow="overflow" wrap="square" lIns="0" tIns="0" rIns="0" bIns="0" anchor="ctr" anchorCtr="1"/>
                <a:lstStyle/>
                <a:p>
                  <a:pPr algn="ctr" rtl="0">
                    <a:defRPr sz="1600">
                      <a:solidFill>
                        <a:schemeClr val="tx1"/>
                      </a:solidFill>
                    </a:defRPr>
                  </a:pPr>
                  <a:r>
                    <a:rPr lang="en-US" sz="1600" b="0" i="0" u="none" strike="noStrike"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rPr>
                    <a:t>121</a:t>
                  </a:r>
                </a:p>
              </cx:txPr>
              <cx:visibility seriesName="0" categoryName="0" value="1"/>
            </cx:dataLabel>
          </cx:dataLabels>
          <cx:dataId val="0"/>
          <cx:layoutPr>
            <cx:subtotals>
              <cx:idx val="3"/>
            </cx:subtotals>
          </cx:layoutPr>
        </cx:series>
      </cx:plotAreaRegion>
      <cx:axis id="0">
        <cx:catScaling gapWidth="0"/>
        <cx:tickLabels/>
        <cx:txPr>
          <a:bodyPr spcFirstLastPara="1" vertOverflow="ellipsis" horzOverflow="overflow" wrap="square" lIns="0" tIns="0" rIns="0" bIns="0" anchor="ctr" anchorCtr="1"/>
          <a:lstStyle/>
          <a:p>
            <a:pPr algn="ctr" rtl="0">
              <a:defRPr sz="160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sz="1600" b="0" i="0" u="none" strike="noStrike"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endParaRPr>
          </a:p>
        </cx:txPr>
      </cx:axis>
      <cx:axis id="1">
        <cx:valScaling/>
        <cx:majorGridlines/>
        <cx:tickLabels/>
        <cx:txPr>
          <a:bodyPr spcFirstLastPara="1" vertOverflow="ellipsis" horzOverflow="overflow" wrap="square" lIns="0" tIns="0" rIns="0" bIns="0" anchor="ctr" anchorCtr="1"/>
          <a:lstStyle/>
          <a:p>
            <a:pPr algn="ctr" rtl="0">
              <a:defRPr sz="160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sz="1600" b="0" i="0" u="none" strike="noStrike"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endParaRPr>
          </a:p>
        </cx:txPr>
      </cx:axis>
    </cx:plotArea>
  </cx:chart>
  <cx:spPr>
    <a:ln>
      <a:noFill/>
    </a:ln>
  </cx:spPr>
</cx:chartSpace>
</file>

<file path=xl/charts/chartEx6.xml><?xml version="1.0" encoding="utf-8"?>
<cx:chartSpace xmlns:a="http://schemas.openxmlformats.org/drawingml/2006/main" xmlns:r="http://schemas.openxmlformats.org/officeDocument/2006/relationships" xmlns:cx="http://schemas.microsoft.com/office/drawing/2014/chartex">
  <cx:chartData>
    <cx:data id="0">
      <cx:strDim type="cat">
        <cx:f dir="row">_xlchart.v1.11</cx:f>
      </cx:strDim>
      <cx:numDim type="val">
        <cx:f dir="row">_xlchart.v1.10</cx:f>
      </cx:numDim>
    </cx:data>
  </cx:chartData>
  <cx:chart>
    <cx:title pos="t" align="ctr" overlay="0">
      <cx:tx>
        <cx:txData>
          <cx:v>Anti-Aircraft / Air Defence</cx:v>
        </cx:txData>
      </cx:tx>
      <cx:txPr>
        <a:bodyPr spcFirstLastPara="1" vertOverflow="ellipsis" horzOverflow="overflow" wrap="square" lIns="0" tIns="0" rIns="0" bIns="0" anchor="ctr" anchorCtr="1"/>
        <a:lstStyle/>
        <a:p>
          <a:pPr algn="ctr" rtl="0">
            <a:defRPr sz="2000">
              <a:solidFill>
                <a:sysClr val="windowText" lastClr="000000"/>
              </a:solidFill>
            </a:defRPr>
          </a:pPr>
          <a:r>
            <a:rPr lang="en-US" sz="2000" b="1" i="0" u="none" strike="noStrike"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rPr>
            <a:t>Anti-Aircraft / Air Defence</a:t>
          </a:r>
        </a:p>
      </cx:txPr>
    </cx:title>
    <cx:plotArea>
      <cx:plotAreaRegion>
        <cx:series layoutId="waterfall" uniqueId="{13FCBEFE-7311-42E7-ADD9-FAF9402F72DB}">
          <cx:spPr>
            <a:ln w="9525">
              <a:solidFill>
                <a:sysClr val="windowText" lastClr="000000"/>
              </a:solidFill>
            </a:ln>
          </cx:spPr>
          <cx:dataPt idx="0">
            <cx:spPr>
              <a:solidFill>
                <a:srgbClr val="156082"/>
              </a:solidFill>
            </cx:spPr>
          </cx:dataPt>
          <cx:dataPt idx="1">
            <cx:spPr>
              <a:pattFill prst="pct90">
                <a:fgClr>
                  <a:srgbClr val="A02B93"/>
                </a:fgClr>
                <a:bgClr>
                  <a:sysClr val="window" lastClr="FFFFFF"/>
                </a:bgClr>
              </a:pattFill>
            </cx:spPr>
          </cx:dataPt>
          <cx:dataPt idx="2">
            <cx:spPr>
              <a:pattFill prst="dkVert">
                <a:fgClr>
                  <a:srgbClr val="4EA72E"/>
                </a:fgClr>
                <a:bgClr>
                  <a:sysClr val="window" lastClr="FFFFFF"/>
                </a:bgClr>
              </a:pattFill>
            </cx:spPr>
          </cx:dataPt>
          <cx:dataPt idx="3">
            <cx:spPr>
              <a:solidFill>
                <a:srgbClr val="156082"/>
              </a:solidFill>
            </cx:spPr>
          </cx:dataPt>
          <cx:dataLabels>
            <cx:txPr>
              <a:bodyPr spcFirstLastPara="1" vertOverflow="ellipsis" horzOverflow="overflow" wrap="square" lIns="0" tIns="0" rIns="0" bIns="0" anchor="ctr" anchorCtr="1"/>
              <a:lstStyle/>
              <a:p>
                <a:pPr algn="ctr" rtl="0">
                  <a:defRPr sz="1600" b="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defRPr>
                </a:pPr>
                <a:endParaRPr lang="en-US" sz="1600" b="0" i="0" u="none" strike="noStrike"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endParaRPr>
              </a:p>
            </cx:txPr>
            <cx:visibility seriesName="0" categoryName="0" value="1"/>
            <cx:dataLabel idx="0">
              <cx:txPr>
                <a:bodyPr spcFirstLastPara="1" vertOverflow="ellipsis" horzOverflow="overflow" wrap="square" lIns="0" tIns="0" rIns="0" bIns="0" anchor="ctr" anchorCtr="1"/>
                <a:lstStyle/>
                <a:p>
                  <a:pPr algn="ctr" rtl="0">
                    <a:defRPr sz="1600" b="1"/>
                  </a:pPr>
                  <a:r>
                    <a:rPr lang="en-US" sz="1600" b="1" i="0" u="none" strike="noStrike"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rPr>
                    <a:t>12</a:t>
                  </a:r>
                </a:p>
              </cx:txPr>
              <cx:visibility seriesName="0" categoryName="0" value="1"/>
            </cx:dataLabel>
          </cx:dataLabels>
          <cx:dataId val="0"/>
          <cx:layoutPr>
            <cx:subtotals>
              <cx:idx val="3"/>
            </cx:subtotals>
          </cx:layoutPr>
        </cx:series>
      </cx:plotAreaRegion>
      <cx:axis id="0">
        <cx:catScaling gapWidth="0"/>
        <cx:tickLabels/>
        <cx:txPr>
          <a:bodyPr spcFirstLastPara="1" vertOverflow="ellipsis" horzOverflow="overflow" wrap="square" lIns="0" tIns="0" rIns="0" bIns="0" anchor="ctr" anchorCtr="1"/>
          <a:lstStyle/>
          <a:p>
            <a:pPr algn="ctr" rtl="0">
              <a:defRPr sz="160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sz="1600" b="0" i="0" u="none" strike="noStrike"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endParaRPr>
          </a:p>
        </cx:txPr>
      </cx:axis>
      <cx:axis id="1">
        <cx:valScaling max="30"/>
        <cx:majorGridlines/>
        <cx:tickLabels/>
        <cx:txPr>
          <a:bodyPr spcFirstLastPara="1" vertOverflow="ellipsis" horzOverflow="overflow" wrap="square" lIns="0" tIns="0" rIns="0" bIns="0" anchor="ctr" anchorCtr="1"/>
          <a:lstStyle/>
          <a:p>
            <a:pPr algn="ctr" rtl="0">
              <a:defRPr sz="1600">
                <a:solidFill>
                  <a:schemeClr val="tx1"/>
                </a:solidFill>
                <a:latin typeface="Calibri Light" panose="020F0302020204030204" pitchFamily="34" charset="0"/>
                <a:ea typeface="Calibri Light" panose="020F0302020204030204" pitchFamily="34" charset="0"/>
                <a:cs typeface="Calibri Light" panose="020F0302020204030204" pitchFamily="34" charset="0"/>
              </a:defRPr>
            </a:pPr>
            <a:endParaRPr lang="en-US" sz="1600" b="0" i="0" u="none" strike="noStrike"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endParaRPr>
          </a:p>
        </cx:txPr>
      </cx:axis>
    </cx:plotArea>
  </cx:chart>
  <cx:spPr>
    <a:ln>
      <a:noFill/>
    </a:ln>
  </cx:spPr>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1.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2.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9.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3" Type="http://schemas.microsoft.com/office/2014/relationships/chartEx" Target="../charts/chartEx3.xml"/><Relationship Id="rId2" Type="http://schemas.microsoft.com/office/2014/relationships/chartEx" Target="../charts/chartEx2.xml"/><Relationship Id="rId1" Type="http://schemas.microsoft.com/office/2014/relationships/chartEx" Target="../charts/chartEx1.xml"/><Relationship Id="rId6" Type="http://schemas.microsoft.com/office/2014/relationships/chartEx" Target="../charts/chartEx6.xml"/><Relationship Id="rId5" Type="http://schemas.microsoft.com/office/2014/relationships/chartEx" Target="../charts/chartEx5.xml"/><Relationship Id="rId4" Type="http://schemas.microsoft.com/office/2014/relationships/chartEx" Target="../charts/chartEx4.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8.xml.rels><?xml version="1.0" encoding="UTF-8" standalone="yes"?>
<Relationships xmlns="http://schemas.openxmlformats.org/package/2006/relationships"><Relationship Id="rId8" Type="http://schemas.openxmlformats.org/officeDocument/2006/relationships/chart" Target="../charts/chart9.xml"/><Relationship Id="rId7" Type="http://schemas.openxmlformats.org/officeDocument/2006/relationships/image" Target="../media/image22.png"/><Relationship Id="rId1" Type="http://schemas.openxmlformats.org/officeDocument/2006/relationships/customXml" Target="../ink/ink1.xml"/><Relationship Id="rId11" Type="http://schemas.openxmlformats.org/officeDocument/2006/relationships/customXml" Target="../ink/ink4.xml"/><Relationship Id="rId10" Type="http://schemas.openxmlformats.org/officeDocument/2006/relationships/customXml" Target="../ink/ink3.xml"/><Relationship Id="rId9" Type="http://schemas.openxmlformats.org/officeDocument/2006/relationships/customXml" Target="../ink/ink2.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0.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32.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34.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36.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38.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40.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42.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44.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46.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48.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0.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52.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54.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56.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58.xml.rels><?xml version="1.0" encoding="UTF-8" standalone="yes"?>
<Relationships xmlns="http://schemas.openxmlformats.org/package/2006/relationships"><Relationship Id="rId1" Type="http://schemas.openxmlformats.org/officeDocument/2006/relationships/chart" Target="../charts/chart29.xml"/></Relationships>
</file>

<file path=xl/drawings/_rels/drawing60.xml.rels><?xml version="1.0" encoding="UTF-8" standalone="yes"?>
<Relationships xmlns="http://schemas.openxmlformats.org/package/2006/relationships"><Relationship Id="rId1" Type="http://schemas.openxmlformats.org/officeDocument/2006/relationships/chart" Target="../charts/chart30.xml"/></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5</xdr:col>
      <xdr:colOff>15240</xdr:colOff>
      <xdr:row>5</xdr:row>
      <xdr:rowOff>0</xdr:rowOff>
    </xdr:from>
    <xdr:to>
      <xdr:col>23</xdr:col>
      <xdr:colOff>22860</xdr:colOff>
      <xdr:row>36</xdr:row>
      <xdr:rowOff>160020</xdr:rowOff>
    </xdr:to>
    <xdr:graphicFrame macro="">
      <xdr:nvGraphicFramePr>
        <xdr:cNvPr id="3" name="Chart 2">
          <a:extLst>
            <a:ext uri="{FF2B5EF4-FFF2-40B4-BE49-F238E27FC236}">
              <a16:creationId xmlns:a16="http://schemas.microsoft.com/office/drawing/2014/main" id="{2D9BA4A1-26DE-4418-B489-1B2ED4F9F8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0.05745</cdr:x>
      <cdr:y>0.03454</cdr:y>
    </cdr:from>
    <cdr:to>
      <cdr:x>0.18777</cdr:x>
      <cdr:y>0.12153</cdr:y>
    </cdr:to>
    <cdr:sp macro="" textlink="">
      <cdr:nvSpPr>
        <cdr:cNvPr id="3" name="TextBox 19">
          <a:extLst xmlns:a="http://schemas.openxmlformats.org/drawingml/2006/main">
            <a:ext uri="{FF2B5EF4-FFF2-40B4-BE49-F238E27FC236}">
              <a16:creationId xmlns:a16="http://schemas.microsoft.com/office/drawing/2014/main" id="{A2DED420-FAA1-BDF2-3E41-D437B3BA1BFF}"/>
            </a:ext>
          </a:extLst>
        </cdr:cNvPr>
        <cdr:cNvSpPr txBox="1"/>
      </cdr:nvSpPr>
      <cdr:spPr>
        <a:xfrm xmlns:a="http://schemas.openxmlformats.org/drawingml/2006/main">
          <a:off x="697881" y="219000"/>
          <a:ext cx="1583187" cy="551598"/>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600">
              <a:latin typeface="Calibri Light" panose="020F0302020204030204" pitchFamily="34" charset="0"/>
              <a:ea typeface="Calibri Light" panose="020F0302020204030204" pitchFamily="34" charset="0"/>
              <a:cs typeface="Calibri Light" panose="020F0302020204030204" pitchFamily="34" charset="0"/>
            </a:rPr>
            <a:t>billion Euros</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600">
              <a:latin typeface="Calibri Light" panose="020F0302020204030204" pitchFamily="34" charset="0"/>
              <a:ea typeface="Calibri Light" panose="020F0302020204030204" pitchFamily="34" charset="0"/>
              <a:cs typeface="Calibri Light" panose="020F0302020204030204" pitchFamily="34" charset="0"/>
            </a:rPr>
            <a:t>Total: </a:t>
          </a:r>
          <a:r>
            <a:rPr lang="en-US" sz="16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€43.8 bn</a:t>
          </a:r>
          <a:endParaRPr lang="en-US" sz="16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r>
            <a:rPr lang="en-US" sz="1100">
              <a:latin typeface="Times New Roman" panose="02020603050405020304" pitchFamily="18" charset="0"/>
              <a:cs typeface="Times New Roman" panose="02020603050405020304" pitchFamily="18" charset="0"/>
            </a:rPr>
            <a:t> </a:t>
          </a: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0.59533</cdr:x>
      <cdr:y>0.2966</cdr:y>
    </cdr:from>
    <cdr:to>
      <cdr:x>0.77462</cdr:x>
      <cdr:y>0.34762</cdr:y>
    </cdr:to>
    <cdr:sp macro="" textlink="">
      <cdr:nvSpPr>
        <cdr:cNvPr id="19" name="TextBox 9">
          <a:extLst xmlns:a="http://schemas.openxmlformats.org/drawingml/2006/main">
            <a:ext uri="{FF2B5EF4-FFF2-40B4-BE49-F238E27FC236}">
              <a16:creationId xmlns:a16="http://schemas.microsoft.com/office/drawing/2014/main" id="{D9DAF369-FD2E-45C9-97AB-917F35607EAB}"/>
            </a:ext>
          </a:extLst>
        </cdr:cNvPr>
        <cdr:cNvSpPr txBox="1"/>
      </cdr:nvSpPr>
      <cdr:spPr>
        <a:xfrm xmlns:a="http://schemas.openxmlformats.org/drawingml/2006/main">
          <a:off x="7185660" y="1898447"/>
          <a:ext cx="2164068" cy="326593"/>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400">
              <a:latin typeface="Calibri Light" panose="020F0302020204030204" pitchFamily="34" charset="0"/>
              <a:ea typeface="Calibri Light" panose="020F0302020204030204" pitchFamily="34" charset="0"/>
              <a:cs typeface="Calibri Light" panose="020F0302020204030204" pitchFamily="34" charset="0"/>
            </a:rPr>
            <a:t>Chinook</a:t>
          </a:r>
          <a:r>
            <a:rPr lang="en-US" sz="1400" baseline="0">
              <a:latin typeface="Calibri Light" panose="020F0302020204030204" pitchFamily="34" charset="0"/>
              <a:ea typeface="Calibri Light" panose="020F0302020204030204" pitchFamily="34" charset="0"/>
              <a:cs typeface="Calibri Light" panose="020F0302020204030204" pitchFamily="34" charset="0"/>
            </a:rPr>
            <a:t> helicopter</a:t>
          </a:r>
          <a:r>
            <a:rPr lang="en-US" sz="1400">
              <a:latin typeface="Calibri Light" panose="020F0302020204030204" pitchFamily="34" charset="0"/>
              <a:ea typeface="Calibri Light" panose="020F0302020204030204" pitchFamily="34" charset="0"/>
              <a:cs typeface="Calibri Light" panose="020F0302020204030204" pitchFamily="34" charset="0"/>
            </a:rPr>
            <a:t>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€7</a:t>
          </a:r>
          <a:r>
            <a:rPr lang="en-US" sz="1400">
              <a:latin typeface="Calibri Light" panose="020F0302020204030204" pitchFamily="34" charset="0"/>
              <a:ea typeface="Calibri Light" panose="020F0302020204030204" pitchFamily="34" charset="0"/>
              <a:cs typeface="Calibri Light" panose="020F0302020204030204" pitchFamily="34" charset="0"/>
            </a:rPr>
            <a:t> bn</a:t>
          </a:r>
        </a:p>
        <a:p xmlns:a="http://schemas.openxmlformats.org/drawingml/2006/main">
          <a:endParaRPr lang="en-US" sz="1100"/>
        </a:p>
      </cdr:txBody>
    </cdr:sp>
  </cdr:relSizeAnchor>
  <cdr:relSizeAnchor xmlns:cdr="http://schemas.openxmlformats.org/drawingml/2006/chartDrawing">
    <cdr:from>
      <cdr:x>0.73233</cdr:x>
      <cdr:y>0.34881</cdr:y>
    </cdr:from>
    <cdr:to>
      <cdr:x>0.77572</cdr:x>
      <cdr:y>0.45814</cdr:y>
    </cdr:to>
    <cdr:cxnSp macro="">
      <cdr:nvCxnSpPr>
        <cdr:cNvPr id="20" name="Straight Arrow Connector 19">
          <a:extLst xmlns:a="http://schemas.openxmlformats.org/drawingml/2006/main">
            <a:ext uri="{FF2B5EF4-FFF2-40B4-BE49-F238E27FC236}">
              <a16:creationId xmlns:a16="http://schemas.microsoft.com/office/drawing/2014/main" id="{3479F456-9CA4-4669-8D3B-6D43AAB04EFD}"/>
            </a:ext>
          </a:extLst>
        </cdr:cNvPr>
        <cdr:cNvCxnSpPr/>
      </cdr:nvCxnSpPr>
      <cdr:spPr>
        <a:xfrm xmlns:a="http://schemas.openxmlformats.org/drawingml/2006/main">
          <a:off x="8839237" y="2232648"/>
          <a:ext cx="523720" cy="699799"/>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0.13724</cdr:x>
      <cdr:y>0.48584</cdr:y>
    </cdr:from>
    <cdr:to>
      <cdr:x>0.35764</cdr:x>
      <cdr:y>0.52967</cdr:y>
    </cdr:to>
    <cdr:sp macro="" textlink="">
      <cdr:nvSpPr>
        <cdr:cNvPr id="21" name="TextBox 3">
          <a:extLst xmlns:a="http://schemas.openxmlformats.org/drawingml/2006/main">
            <a:ext uri="{FF2B5EF4-FFF2-40B4-BE49-F238E27FC236}">
              <a16:creationId xmlns:a16="http://schemas.microsoft.com/office/drawing/2014/main" id="{C0F62E8D-E054-CECB-EBDB-C1786EB56E1E}"/>
            </a:ext>
          </a:extLst>
        </cdr:cNvPr>
        <cdr:cNvSpPr txBox="1"/>
      </cdr:nvSpPr>
      <cdr:spPr>
        <a:xfrm xmlns:a="http://schemas.openxmlformats.org/drawingml/2006/main">
          <a:off x="1667296" y="3080690"/>
          <a:ext cx="2677520" cy="277923"/>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latin typeface="Calibri Light" panose="020F0302020204030204" pitchFamily="34" charset="0"/>
              <a:ea typeface="Calibri Light" panose="020F0302020204030204" pitchFamily="34" charset="0"/>
              <a:cs typeface="Calibri Light" panose="020F0302020204030204" pitchFamily="34" charset="0"/>
            </a:rPr>
            <a:t>Eurodrone</a:t>
          </a:r>
          <a:r>
            <a:rPr lang="en-US" sz="1400" baseline="0">
              <a:latin typeface="Calibri Light" panose="020F0302020204030204" pitchFamily="34" charset="0"/>
              <a:ea typeface="Calibri Light" panose="020F0302020204030204" pitchFamily="34" charset="0"/>
              <a:cs typeface="Calibri Light" panose="020F0302020204030204" pitchFamily="34" charset="0"/>
            </a:rPr>
            <a:t> development </a:t>
          </a:r>
          <a:r>
            <a:rPr lang="en-US" sz="1400">
              <a:latin typeface="Calibri Light" panose="020F0302020204030204" pitchFamily="34" charset="0"/>
              <a:ea typeface="Calibri Light" panose="020F0302020204030204" pitchFamily="34" charset="0"/>
              <a:cs typeface="Calibri Light" panose="020F0302020204030204" pitchFamily="34" charset="0"/>
            </a:rPr>
            <a:t>-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€3.1 bn</a:t>
          </a:r>
        </a:p>
        <a:p xmlns:a="http://schemas.openxmlformats.org/drawingml/2006/main">
          <a:endParaRPr lang="en-US" sz="1100">
            <a:solidFill>
              <a:schemeClr val="dk1"/>
            </a:solidFill>
            <a:effectLst/>
            <a:latin typeface="Times New Roman" panose="02020603050405020304" pitchFamily="18" charset="0"/>
            <a:ea typeface="+mn-ea"/>
            <a:cs typeface="Times New Roman" panose="02020603050405020304" pitchFamily="18" charset="0"/>
          </a:endParaRPr>
        </a:p>
      </cdr:txBody>
    </cdr:sp>
  </cdr:relSizeAnchor>
  <cdr:relSizeAnchor xmlns:cdr="http://schemas.openxmlformats.org/drawingml/2006/chartDrawing">
    <cdr:from>
      <cdr:x>0.27402</cdr:x>
      <cdr:y>0.54386</cdr:y>
    </cdr:from>
    <cdr:to>
      <cdr:x>0.31813</cdr:x>
      <cdr:y>0.67719</cdr:y>
    </cdr:to>
    <cdr:cxnSp macro="">
      <cdr:nvCxnSpPr>
        <cdr:cNvPr id="27" name="Straight Arrow Connector 26">
          <a:extLst xmlns:a="http://schemas.openxmlformats.org/drawingml/2006/main">
            <a:ext uri="{FF2B5EF4-FFF2-40B4-BE49-F238E27FC236}">
              <a16:creationId xmlns:a16="http://schemas.microsoft.com/office/drawing/2014/main" id="{7A710D46-E7C4-9479-BD3C-FE2886225255}"/>
            </a:ext>
          </a:extLst>
        </cdr:cNvPr>
        <cdr:cNvCxnSpPr/>
      </cdr:nvCxnSpPr>
      <cdr:spPr>
        <a:xfrm xmlns:a="http://schemas.openxmlformats.org/drawingml/2006/main">
          <a:off x="3199600" y="3481170"/>
          <a:ext cx="515047" cy="853418"/>
        </a:xfrm>
        <a:prstGeom xmlns:a="http://schemas.openxmlformats.org/drawingml/2006/main" prst="straightConnector1">
          <a:avLst/>
        </a:prstGeom>
        <a:ln xmlns:a="http://schemas.openxmlformats.org/drawingml/2006/main">
          <a:tailEnd type="triangle"/>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0.88088</cdr:x>
      <cdr:y>0.39517</cdr:y>
    </cdr:from>
    <cdr:to>
      <cdr:x>0.9707</cdr:x>
      <cdr:y>0.49957</cdr:y>
    </cdr:to>
    <cdr:sp macro="" textlink="">
      <cdr:nvSpPr>
        <cdr:cNvPr id="14" name="TextBox 9">
          <a:extLst xmlns:a="http://schemas.openxmlformats.org/drawingml/2006/main">
            <a:ext uri="{FF2B5EF4-FFF2-40B4-BE49-F238E27FC236}">
              <a16:creationId xmlns:a16="http://schemas.microsoft.com/office/drawing/2014/main" id="{A595CD86-B1A0-C389-291C-5A24F431F756}"/>
            </a:ext>
          </a:extLst>
        </cdr:cNvPr>
        <cdr:cNvSpPr txBox="1"/>
      </cdr:nvSpPr>
      <cdr:spPr>
        <a:xfrm xmlns:a="http://schemas.openxmlformats.org/drawingml/2006/main">
          <a:off x="10701333" y="2505745"/>
          <a:ext cx="1091161" cy="661998"/>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400">
              <a:latin typeface="Calibri Light" panose="020F0302020204030204" pitchFamily="34" charset="0"/>
              <a:ea typeface="Calibri Light" panose="020F0302020204030204" pitchFamily="34" charset="0"/>
              <a:cs typeface="Calibri Light" panose="020F0302020204030204" pitchFamily="34" charset="0"/>
            </a:rPr>
            <a:t>Patriot missile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€3</a:t>
          </a:r>
          <a:r>
            <a:rPr lang="en-US" sz="1400">
              <a:latin typeface="Calibri Light" panose="020F0302020204030204" pitchFamily="34" charset="0"/>
              <a:ea typeface="Calibri Light" panose="020F0302020204030204" pitchFamily="34" charset="0"/>
              <a:cs typeface="Calibri Light" panose="020F0302020204030204" pitchFamily="34" charset="0"/>
            </a:rPr>
            <a:t> bn</a:t>
          </a:r>
        </a:p>
        <a:p xmlns:a="http://schemas.openxmlformats.org/drawingml/2006/main">
          <a:endParaRPr lang="en-US" sz="1100"/>
        </a:p>
      </cdr:txBody>
    </cdr:sp>
  </cdr:relSizeAnchor>
  <cdr:relSizeAnchor xmlns:cdr="http://schemas.openxmlformats.org/drawingml/2006/chartDrawing">
    <cdr:from>
      <cdr:x>0.25505</cdr:x>
      <cdr:y>0.04201</cdr:y>
    </cdr:from>
    <cdr:to>
      <cdr:x>0.53977</cdr:x>
      <cdr:y>0.36786</cdr:y>
    </cdr:to>
    <cdr:sp macro="" textlink="">
      <cdr:nvSpPr>
        <cdr:cNvPr id="5" name="TextBox 1">
          <a:extLst xmlns:a="http://schemas.openxmlformats.org/drawingml/2006/main">
            <a:ext uri="{FF2B5EF4-FFF2-40B4-BE49-F238E27FC236}">
              <a16:creationId xmlns:a16="http://schemas.microsoft.com/office/drawing/2014/main" id="{96C35D08-B6AB-1A9F-7345-B47571D20915}"/>
            </a:ext>
          </a:extLst>
        </cdr:cNvPr>
        <cdr:cNvSpPr txBox="1"/>
      </cdr:nvSpPr>
      <cdr:spPr>
        <a:xfrm xmlns:a="http://schemas.openxmlformats.org/drawingml/2006/main">
          <a:off x="3078480" y="268913"/>
          <a:ext cx="3436587" cy="2085667"/>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600" u="sng">
              <a:latin typeface="Calibri Light" panose="020F0302020204030204" pitchFamily="34" charset="0"/>
              <a:ea typeface="Calibri Light" panose="020F0302020204030204" pitchFamily="34" charset="0"/>
              <a:cs typeface="Calibri Light" panose="020F0302020204030204" pitchFamily="34" charset="0"/>
            </a:rPr>
            <a:t>Land includes:</a:t>
          </a:r>
        </a:p>
        <a:p xmlns:a="http://schemas.openxmlformats.org/drawingml/2006/main">
          <a:r>
            <a:rPr lang="en-US" sz="1600">
              <a:latin typeface="Calibri Light" panose="020F0302020204030204" pitchFamily="34" charset="0"/>
              <a:ea typeface="Calibri Light" panose="020F0302020204030204" pitchFamily="34" charset="0"/>
              <a:cs typeface="Calibri Light" panose="020F0302020204030204" pitchFamily="34" charset="0"/>
            </a:rPr>
            <a:t>Air defence system, Ammunition, Armoured vehicle,</a:t>
          </a:r>
          <a:r>
            <a:rPr lang="en-US" sz="1600" baseline="0">
              <a:latin typeface="Calibri Light" panose="020F0302020204030204" pitchFamily="34" charset="0"/>
              <a:ea typeface="Calibri Light" panose="020F0302020204030204" pitchFamily="34" charset="0"/>
              <a:cs typeface="Calibri Light" panose="020F0302020204030204" pitchFamily="34" charset="0"/>
            </a:rPr>
            <a:t> Artillery, Drone, Helicopter, Infantry, Main battle tank, Mine, Missile (Land)</a:t>
          </a:r>
        </a:p>
        <a:p xmlns:a="http://schemas.openxmlformats.org/drawingml/2006/main">
          <a:endParaRPr lang="en-US" sz="1600" baseline="0">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r>
            <a:rPr lang="en-US" sz="1600" baseline="0">
              <a:latin typeface="Calibri Light" panose="020F0302020204030204" pitchFamily="34" charset="0"/>
              <a:ea typeface="Calibri Light" panose="020F0302020204030204" pitchFamily="34" charset="0"/>
              <a:cs typeface="Calibri Light" panose="020F0302020204030204" pitchFamily="34" charset="0"/>
            </a:rPr>
            <a:t>Each category includes costs for development</a:t>
          </a:r>
        </a:p>
      </cdr:txBody>
    </cdr:sp>
  </cdr:relSizeAnchor>
  <cdr:relSizeAnchor xmlns:cdr="http://schemas.openxmlformats.org/drawingml/2006/chartDrawing">
    <cdr:from>
      <cdr:x>0.79693</cdr:x>
      <cdr:y>0.17847</cdr:y>
    </cdr:from>
    <cdr:to>
      <cdr:x>0.99642</cdr:x>
      <cdr:y>0.28892</cdr:y>
    </cdr:to>
    <cdr:sp macro="" textlink="">
      <cdr:nvSpPr>
        <cdr:cNvPr id="9" name="TextBox 9">
          <a:extLst xmlns:a="http://schemas.openxmlformats.org/drawingml/2006/main">
            <a:ext uri="{FF2B5EF4-FFF2-40B4-BE49-F238E27FC236}">
              <a16:creationId xmlns:a16="http://schemas.microsoft.com/office/drawing/2014/main" id="{2B13D0EB-581D-CDD9-852C-4BFE9E8F4D1A}"/>
            </a:ext>
          </a:extLst>
        </cdr:cNvPr>
        <cdr:cNvSpPr txBox="1"/>
      </cdr:nvSpPr>
      <cdr:spPr>
        <a:xfrm xmlns:a="http://schemas.openxmlformats.org/drawingml/2006/main">
          <a:off x="9681418" y="1131661"/>
          <a:ext cx="2423496" cy="700355"/>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400">
              <a:latin typeface="Calibri Light" panose="020F0302020204030204" pitchFamily="34" charset="0"/>
              <a:ea typeface="Calibri Light" panose="020F0302020204030204" pitchFamily="34" charset="0"/>
              <a:cs typeface="Calibri Light" panose="020F0302020204030204" pitchFamily="34" charset="0"/>
            </a:rPr>
            <a:t>Leopard 2 -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€2.9</a:t>
          </a:r>
          <a:r>
            <a:rPr lang="en-US" sz="1400">
              <a:latin typeface="Calibri Light" panose="020F0302020204030204" pitchFamily="34" charset="0"/>
              <a:ea typeface="Calibri Light" panose="020F0302020204030204" pitchFamily="34" charset="0"/>
              <a:cs typeface="Calibri Light" panose="020F0302020204030204" pitchFamily="34" charset="0"/>
            </a:rPr>
            <a:t> bn</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400">
              <a:latin typeface="Calibri Light" panose="020F0302020204030204" pitchFamily="34" charset="0"/>
              <a:ea typeface="Calibri Light" panose="020F0302020204030204" pitchFamily="34" charset="0"/>
              <a:cs typeface="Calibri Light" panose="020F0302020204030204" pitchFamily="34" charset="0"/>
            </a:rPr>
            <a:t>Patriot system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€1.4 bn</a:t>
          </a:r>
          <a:endParaRPr lang="en-US" sz="1400">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r>
            <a:rPr lang="en-US" sz="1400">
              <a:latin typeface="Calibri Light" panose="020F0302020204030204" pitchFamily="34" charset="0"/>
              <a:ea typeface="Calibri Light" panose="020F0302020204030204" pitchFamily="34" charset="0"/>
              <a:cs typeface="Calibri Light" panose="020F0302020204030204" pitchFamily="34" charset="0"/>
            </a:rPr>
            <a:t>155mm ammunition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a:t>
          </a:r>
          <a:r>
            <a:rPr lang="en-US" sz="1400">
              <a:latin typeface="Calibri Light" panose="020F0302020204030204" pitchFamily="34" charset="0"/>
              <a:ea typeface="Calibri Light" panose="020F0302020204030204" pitchFamily="34" charset="0"/>
              <a:cs typeface="Calibri Light" panose="020F0302020204030204" pitchFamily="34" charset="0"/>
            </a:rPr>
            <a:t>1.3 bn</a:t>
          </a:r>
        </a:p>
      </cdr:txBody>
    </cdr:sp>
  </cdr:relSizeAnchor>
  <cdr:relSizeAnchor xmlns:cdr="http://schemas.openxmlformats.org/drawingml/2006/chartDrawing">
    <cdr:from>
      <cdr:x>0.93345</cdr:x>
      <cdr:y>0.28162</cdr:y>
    </cdr:from>
    <cdr:to>
      <cdr:x>0.97752</cdr:x>
      <cdr:y>0.38455</cdr:y>
    </cdr:to>
    <cdr:cxnSp macro="">
      <cdr:nvCxnSpPr>
        <cdr:cNvPr id="10" name="Straight Arrow Connector 9">
          <a:extLst xmlns:a="http://schemas.openxmlformats.org/drawingml/2006/main">
            <a:ext uri="{FF2B5EF4-FFF2-40B4-BE49-F238E27FC236}">
              <a16:creationId xmlns:a16="http://schemas.microsoft.com/office/drawing/2014/main" id="{2009E25B-FC4B-9E82-4FF5-F2E796D524B7}"/>
            </a:ext>
          </a:extLst>
        </cdr:cNvPr>
        <cdr:cNvCxnSpPr/>
      </cdr:nvCxnSpPr>
      <cdr:spPr>
        <a:xfrm xmlns:a="http://schemas.openxmlformats.org/drawingml/2006/main">
          <a:off x="10899397" y="1802596"/>
          <a:ext cx="514581" cy="658835"/>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0.87552</cdr:x>
      <cdr:y>0.51066</cdr:y>
    </cdr:from>
    <cdr:to>
      <cdr:x>0.90204</cdr:x>
      <cdr:y>0.57733</cdr:y>
    </cdr:to>
    <cdr:cxnSp macro="">
      <cdr:nvCxnSpPr>
        <cdr:cNvPr id="12" name="Straight Arrow Connector 11">
          <a:extLst xmlns:a="http://schemas.openxmlformats.org/drawingml/2006/main">
            <a:ext uri="{FF2B5EF4-FFF2-40B4-BE49-F238E27FC236}">
              <a16:creationId xmlns:a16="http://schemas.microsoft.com/office/drawing/2014/main" id="{AE534B2C-20F6-3527-BA56-904205B6DD89}"/>
            </a:ext>
          </a:extLst>
        </cdr:cNvPr>
        <cdr:cNvCxnSpPr/>
      </cdr:nvCxnSpPr>
      <cdr:spPr>
        <a:xfrm xmlns:a="http://schemas.openxmlformats.org/drawingml/2006/main" flipH="1">
          <a:off x="10222910" y="3268633"/>
          <a:ext cx="309659" cy="426741"/>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userShapes>
</file>

<file path=xl/drawings/drawing11.xml><?xml version="1.0" encoding="utf-8"?>
<xdr:wsDr xmlns:xdr="http://schemas.openxmlformats.org/drawingml/2006/spreadsheetDrawing" xmlns:a="http://schemas.openxmlformats.org/drawingml/2006/main">
  <xdr:twoCellAnchor>
    <xdr:from>
      <xdr:col>14</xdr:col>
      <xdr:colOff>3810</xdr:colOff>
      <xdr:row>5</xdr:row>
      <xdr:rowOff>3810</xdr:rowOff>
    </xdr:from>
    <xdr:to>
      <xdr:col>26</xdr:col>
      <xdr:colOff>640080</xdr:colOff>
      <xdr:row>32</xdr:row>
      <xdr:rowOff>22860</xdr:rowOff>
    </xdr:to>
    <xdr:graphicFrame macro="">
      <xdr:nvGraphicFramePr>
        <xdr:cNvPr id="2" name="Chart 1">
          <a:extLst>
            <a:ext uri="{FF2B5EF4-FFF2-40B4-BE49-F238E27FC236}">
              <a16:creationId xmlns:a16="http://schemas.microsoft.com/office/drawing/2014/main" id="{86E133C2-1705-A375-C86C-C887239D06F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0.06787</cdr:x>
      <cdr:y>0.02545</cdr:y>
    </cdr:from>
    <cdr:to>
      <cdr:x>0.22918</cdr:x>
      <cdr:y>0.09714</cdr:y>
    </cdr:to>
    <cdr:sp macro="" textlink="">
      <cdr:nvSpPr>
        <cdr:cNvPr id="2" name="TextBox 19">
          <a:extLst xmlns:a="http://schemas.openxmlformats.org/drawingml/2006/main">
            <a:ext uri="{FF2B5EF4-FFF2-40B4-BE49-F238E27FC236}">
              <a16:creationId xmlns:a16="http://schemas.microsoft.com/office/drawing/2014/main" id="{023B84A5-C4CE-536C-1641-011D3421363C}"/>
            </a:ext>
          </a:extLst>
        </cdr:cNvPr>
        <cdr:cNvSpPr txBox="1"/>
      </cdr:nvSpPr>
      <cdr:spPr>
        <a:xfrm xmlns:a="http://schemas.openxmlformats.org/drawingml/2006/main">
          <a:off x="590775" y="120366"/>
          <a:ext cx="1404123" cy="339062"/>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600">
              <a:latin typeface="Calibri Light" panose="020F0302020204030204" pitchFamily="34" charset="0"/>
              <a:ea typeface="Calibri Light" panose="020F0302020204030204" pitchFamily="34" charset="0"/>
              <a:cs typeface="Calibri Light" panose="020F0302020204030204" pitchFamily="34" charset="0"/>
            </a:rPr>
            <a:t>billion Euros</a:t>
          </a:r>
          <a:endParaRPr lang="en-US" sz="16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r>
            <a:rPr lang="en-US" sz="1100">
              <a:latin typeface="Times New Roman" panose="02020603050405020304" pitchFamily="18" charset="0"/>
              <a:cs typeface="Times New Roman" panose="02020603050405020304" pitchFamily="18" charset="0"/>
            </a:rPr>
            <a:t> </a:t>
          </a: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0.22431</cdr:x>
      <cdr:y>0</cdr:y>
    </cdr:from>
    <cdr:to>
      <cdr:x>0.72198</cdr:x>
      <cdr:y>0.10105</cdr:y>
    </cdr:to>
    <cdr:sp macro="" textlink="">
      <cdr:nvSpPr>
        <cdr:cNvPr id="3" name="TextBox 3">
          <a:extLst xmlns:a="http://schemas.openxmlformats.org/drawingml/2006/main">
            <a:ext uri="{FF2B5EF4-FFF2-40B4-BE49-F238E27FC236}">
              <a16:creationId xmlns:a16="http://schemas.microsoft.com/office/drawing/2014/main" id="{730C4A98-9FBC-F599-FB25-C688C48D1F78}"/>
            </a:ext>
          </a:extLst>
        </cdr:cNvPr>
        <cdr:cNvSpPr txBox="1"/>
      </cdr:nvSpPr>
      <cdr:spPr>
        <a:xfrm xmlns:a="http://schemas.openxmlformats.org/drawingml/2006/main">
          <a:off x="1947663" y="0"/>
          <a:ext cx="4321254" cy="480074"/>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600">
              <a:latin typeface="Calibri Light" panose="020F0302020204030204" pitchFamily="34" charset="0"/>
              <a:ea typeface="Calibri Light" panose="020F0302020204030204" pitchFamily="34" charset="0"/>
              <a:cs typeface="Calibri Light" panose="020F0302020204030204" pitchFamily="34" charset="0"/>
            </a:rPr>
            <a:t>Total orders Jan 2020 - Dec 2021: </a:t>
          </a:r>
          <a:r>
            <a:rPr lang="en-US" sz="1600" b="1">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€47.8</a:t>
          </a:r>
          <a:r>
            <a:rPr lang="en-US" sz="1600" b="1"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billion</a:t>
          </a:r>
          <a:r>
            <a:rPr lang="en-US" sz="1600" b="1">
              <a:latin typeface="Calibri Light" panose="020F0302020204030204" pitchFamily="34" charset="0"/>
              <a:ea typeface="Calibri Light" panose="020F0302020204030204" pitchFamily="34" charset="0"/>
              <a:cs typeface="Calibri Light" panose="020F0302020204030204" pitchFamily="34" charset="0"/>
            </a:rPr>
            <a:t> </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600">
              <a:latin typeface="Calibri Light" panose="020F0302020204030204" pitchFamily="34" charset="0"/>
              <a:ea typeface="Calibri Light" panose="020F0302020204030204" pitchFamily="34" charset="0"/>
              <a:cs typeface="Calibri Light" panose="020F0302020204030204" pitchFamily="34" charset="0"/>
            </a:rPr>
            <a:t>Total orders Jan 2022 - July 2024: </a:t>
          </a:r>
          <a:r>
            <a:rPr lang="en-US" sz="1600" b="1">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€89.9 billion</a:t>
          </a:r>
        </a:p>
        <a:p xmlns:a="http://schemas.openxmlformats.org/drawingml/2006/main">
          <a:endParaRPr lang="en-US" sz="1100"/>
        </a:p>
      </cdr:txBody>
    </cdr:sp>
  </cdr:relSizeAnchor>
  <cdr:relSizeAnchor xmlns:cdr="http://schemas.openxmlformats.org/drawingml/2006/chartDrawing">
    <cdr:from>
      <cdr:x>0.12254</cdr:x>
      <cdr:y>0.52188</cdr:y>
    </cdr:from>
    <cdr:to>
      <cdr:x>0.18542</cdr:x>
      <cdr:y>0.56973</cdr:y>
    </cdr:to>
    <cdr:sp macro="" textlink="">
      <cdr:nvSpPr>
        <cdr:cNvPr id="5" name="TextBox 1">
          <a:extLst xmlns:a="http://schemas.openxmlformats.org/drawingml/2006/main">
            <a:ext uri="{FF2B5EF4-FFF2-40B4-BE49-F238E27FC236}">
              <a16:creationId xmlns:a16="http://schemas.microsoft.com/office/drawing/2014/main" id="{60146156-FF06-2E9F-AF6B-8C97508F15D4}"/>
            </a:ext>
          </a:extLst>
        </cdr:cNvPr>
        <cdr:cNvSpPr txBox="1"/>
      </cdr:nvSpPr>
      <cdr:spPr>
        <a:xfrm xmlns:a="http://schemas.openxmlformats.org/drawingml/2006/main">
          <a:off x="1052782" y="2801600"/>
          <a:ext cx="540237" cy="25687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600">
              <a:solidFill>
                <a:schemeClr val="tx1"/>
              </a:solidFill>
              <a:latin typeface="Calibri Light" panose="020F0302020204030204" pitchFamily="34" charset="0"/>
              <a:ea typeface="Calibri Light" panose="020F0302020204030204" pitchFamily="34" charset="0"/>
              <a:cs typeface="Calibri Light" panose="020F0302020204030204" pitchFamily="34" charset="0"/>
            </a:rPr>
            <a:t>31%</a:t>
          </a:r>
        </a:p>
      </cdr:txBody>
    </cdr:sp>
  </cdr:relSizeAnchor>
  <cdr:relSizeAnchor xmlns:cdr="http://schemas.openxmlformats.org/drawingml/2006/chartDrawing">
    <cdr:from>
      <cdr:x>0.23369</cdr:x>
      <cdr:y>0.61162</cdr:y>
    </cdr:from>
    <cdr:to>
      <cdr:x>0.29656</cdr:x>
      <cdr:y>0.65947</cdr:y>
    </cdr:to>
    <cdr:sp macro="" textlink="">
      <cdr:nvSpPr>
        <cdr:cNvPr id="6" name="TextBox 1">
          <a:extLst xmlns:a="http://schemas.openxmlformats.org/drawingml/2006/main">
            <a:ext uri="{FF2B5EF4-FFF2-40B4-BE49-F238E27FC236}">
              <a16:creationId xmlns:a16="http://schemas.microsoft.com/office/drawing/2014/main" id="{ABB96369-FF6A-DD0F-959F-41701B832010}"/>
            </a:ext>
          </a:extLst>
        </cdr:cNvPr>
        <cdr:cNvSpPr txBox="1"/>
      </cdr:nvSpPr>
      <cdr:spPr>
        <a:xfrm xmlns:a="http://schemas.openxmlformats.org/drawingml/2006/main">
          <a:off x="2007792" y="3283333"/>
          <a:ext cx="540151" cy="25687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600" i="1">
              <a:solidFill>
                <a:schemeClr val="tx1"/>
              </a:solidFill>
              <a:latin typeface="Calibri Light" panose="020F0302020204030204" pitchFamily="34" charset="0"/>
              <a:ea typeface="Calibri Light" panose="020F0302020204030204" pitchFamily="34" charset="0"/>
              <a:cs typeface="Calibri Light" panose="020F0302020204030204" pitchFamily="34" charset="0"/>
            </a:rPr>
            <a:t>11%</a:t>
          </a:r>
        </a:p>
      </cdr:txBody>
    </cdr:sp>
  </cdr:relSizeAnchor>
  <cdr:relSizeAnchor xmlns:cdr="http://schemas.openxmlformats.org/drawingml/2006/chartDrawing">
    <cdr:from>
      <cdr:x>0.34515</cdr:x>
      <cdr:y>0.49943</cdr:y>
    </cdr:from>
    <cdr:to>
      <cdr:x>0.40803</cdr:x>
      <cdr:y>0.54727</cdr:y>
    </cdr:to>
    <cdr:sp macro="" textlink="">
      <cdr:nvSpPr>
        <cdr:cNvPr id="7" name="TextBox 1">
          <a:extLst xmlns:a="http://schemas.openxmlformats.org/drawingml/2006/main">
            <a:ext uri="{FF2B5EF4-FFF2-40B4-BE49-F238E27FC236}">
              <a16:creationId xmlns:a16="http://schemas.microsoft.com/office/drawing/2014/main" id="{ABB42CD1-9B5C-2BE1-FCC7-F07D5E8327C2}"/>
            </a:ext>
          </a:extLst>
        </cdr:cNvPr>
        <cdr:cNvSpPr txBox="1"/>
      </cdr:nvSpPr>
      <cdr:spPr>
        <a:xfrm xmlns:a="http://schemas.openxmlformats.org/drawingml/2006/main">
          <a:off x="2965406" y="2681094"/>
          <a:ext cx="540237" cy="25681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600">
              <a:solidFill>
                <a:schemeClr val="tx1"/>
              </a:solidFill>
              <a:latin typeface="Calibri Light" panose="020F0302020204030204" pitchFamily="34" charset="0"/>
              <a:ea typeface="Calibri Light" panose="020F0302020204030204" pitchFamily="34" charset="0"/>
              <a:cs typeface="Calibri Light" panose="020F0302020204030204" pitchFamily="34" charset="0"/>
            </a:rPr>
            <a:t>34%</a:t>
          </a:r>
        </a:p>
      </cdr:txBody>
    </cdr:sp>
  </cdr:relSizeAnchor>
  <cdr:relSizeAnchor xmlns:cdr="http://schemas.openxmlformats.org/drawingml/2006/chartDrawing">
    <cdr:from>
      <cdr:x>0.45665</cdr:x>
      <cdr:y>0.61954</cdr:y>
    </cdr:from>
    <cdr:to>
      <cdr:x>0.51952</cdr:x>
      <cdr:y>0.67583</cdr:y>
    </cdr:to>
    <cdr:sp macro="" textlink="">
      <cdr:nvSpPr>
        <cdr:cNvPr id="8" name="TextBox 1">
          <a:extLst xmlns:a="http://schemas.openxmlformats.org/drawingml/2006/main">
            <a:ext uri="{FF2B5EF4-FFF2-40B4-BE49-F238E27FC236}">
              <a16:creationId xmlns:a16="http://schemas.microsoft.com/office/drawing/2014/main" id="{3ECA48DA-3EF4-41F3-5D83-9A59E746DFAE}"/>
            </a:ext>
          </a:extLst>
        </cdr:cNvPr>
        <cdr:cNvSpPr txBox="1"/>
      </cdr:nvSpPr>
      <cdr:spPr>
        <a:xfrm xmlns:a="http://schemas.openxmlformats.org/drawingml/2006/main">
          <a:off x="3923311" y="3325865"/>
          <a:ext cx="540151" cy="302181"/>
        </a:xfrm>
        <a:prstGeom xmlns:a="http://schemas.openxmlformats.org/drawingml/2006/main" prst="rect">
          <a:avLst/>
        </a:prstGeom>
        <a:solidFill xmlns:a="http://schemas.openxmlformats.org/drawingml/2006/main">
          <a:schemeClr val="bg1"/>
        </a:solidFill>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600" i="1">
              <a:solidFill>
                <a:schemeClr val="tx1"/>
              </a:solidFill>
              <a:latin typeface="Calibri Light" panose="020F0302020204030204" pitchFamily="34" charset="0"/>
              <a:ea typeface="Calibri Light" panose="020F0302020204030204" pitchFamily="34" charset="0"/>
              <a:cs typeface="Calibri Light" panose="020F0302020204030204" pitchFamily="34" charset="0"/>
            </a:rPr>
            <a:t>10%</a:t>
          </a:r>
        </a:p>
      </cdr:txBody>
    </cdr:sp>
  </cdr:relSizeAnchor>
  <cdr:relSizeAnchor xmlns:cdr="http://schemas.openxmlformats.org/drawingml/2006/chartDrawing">
    <cdr:from>
      <cdr:x>0.56324</cdr:x>
      <cdr:y>0.69562</cdr:y>
    </cdr:from>
    <cdr:to>
      <cdr:x>0.62612</cdr:x>
      <cdr:y>0.74347</cdr:y>
    </cdr:to>
    <cdr:sp macro="" textlink="">
      <cdr:nvSpPr>
        <cdr:cNvPr id="9" name="TextBox 1">
          <a:extLst xmlns:a="http://schemas.openxmlformats.org/drawingml/2006/main">
            <a:ext uri="{FF2B5EF4-FFF2-40B4-BE49-F238E27FC236}">
              <a16:creationId xmlns:a16="http://schemas.microsoft.com/office/drawing/2014/main" id="{888436B6-5FE6-7653-4B36-FCF5175FAE82}"/>
            </a:ext>
          </a:extLst>
        </cdr:cNvPr>
        <cdr:cNvSpPr txBox="1"/>
      </cdr:nvSpPr>
      <cdr:spPr>
        <a:xfrm xmlns:a="http://schemas.openxmlformats.org/drawingml/2006/main">
          <a:off x="4839098" y="3734275"/>
          <a:ext cx="540237" cy="25687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600">
              <a:latin typeface="Calibri Light" panose="020F0302020204030204" pitchFamily="34" charset="0"/>
              <a:ea typeface="Calibri Light" panose="020F0302020204030204" pitchFamily="34" charset="0"/>
              <a:cs typeface="Calibri Light" panose="020F0302020204030204" pitchFamily="34" charset="0"/>
            </a:rPr>
            <a:t>11%</a:t>
          </a:r>
        </a:p>
      </cdr:txBody>
    </cdr:sp>
  </cdr:relSizeAnchor>
  <cdr:relSizeAnchor xmlns:cdr="http://schemas.openxmlformats.org/drawingml/2006/chartDrawing">
    <cdr:from>
      <cdr:x>0.67668</cdr:x>
      <cdr:y>0.09441</cdr:y>
    </cdr:from>
    <cdr:to>
      <cdr:x>0.73956</cdr:x>
      <cdr:y>0.14225</cdr:y>
    </cdr:to>
    <cdr:sp macro="" textlink="">
      <cdr:nvSpPr>
        <cdr:cNvPr id="10" name="TextBox 1">
          <a:extLst xmlns:a="http://schemas.openxmlformats.org/drawingml/2006/main">
            <a:ext uri="{FF2B5EF4-FFF2-40B4-BE49-F238E27FC236}">
              <a16:creationId xmlns:a16="http://schemas.microsoft.com/office/drawing/2014/main" id="{CECA457F-3F1F-D91B-58C6-45E558F58C7C}"/>
            </a:ext>
          </a:extLst>
        </cdr:cNvPr>
        <cdr:cNvSpPr txBox="1"/>
      </cdr:nvSpPr>
      <cdr:spPr>
        <a:xfrm xmlns:a="http://schemas.openxmlformats.org/drawingml/2006/main">
          <a:off x="5813730" y="506799"/>
          <a:ext cx="540237" cy="256819"/>
        </a:xfrm>
        <a:prstGeom xmlns:a="http://schemas.openxmlformats.org/drawingml/2006/main" prst="rect">
          <a:avLst/>
        </a:prstGeom>
        <a:solidFill xmlns:a="http://schemas.openxmlformats.org/drawingml/2006/main">
          <a:schemeClr val="bg1"/>
        </a:solidFill>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600" i="1">
              <a:solidFill>
                <a:schemeClr val="tx1"/>
              </a:solidFill>
              <a:latin typeface="Calibri Light" panose="020F0302020204030204" pitchFamily="34" charset="0"/>
              <a:ea typeface="Calibri Light" panose="020F0302020204030204" pitchFamily="34" charset="0"/>
              <a:cs typeface="Calibri Light" panose="020F0302020204030204" pitchFamily="34" charset="0"/>
            </a:rPr>
            <a:t>43%</a:t>
          </a:r>
        </a:p>
      </cdr:txBody>
    </cdr:sp>
  </cdr:relSizeAnchor>
  <cdr:relSizeAnchor xmlns:cdr="http://schemas.openxmlformats.org/drawingml/2006/chartDrawing">
    <cdr:from>
      <cdr:x>0.78636</cdr:x>
      <cdr:y>0.5805</cdr:y>
    </cdr:from>
    <cdr:to>
      <cdr:x>0.84924</cdr:x>
      <cdr:y>0.62834</cdr:y>
    </cdr:to>
    <cdr:sp macro="" textlink="">
      <cdr:nvSpPr>
        <cdr:cNvPr id="11" name="TextBox 1">
          <a:extLst xmlns:a="http://schemas.openxmlformats.org/drawingml/2006/main">
            <a:ext uri="{FF2B5EF4-FFF2-40B4-BE49-F238E27FC236}">
              <a16:creationId xmlns:a16="http://schemas.microsoft.com/office/drawing/2014/main" id="{E3A0E8E5-F704-6EF7-FA34-CCB4D175C9C2}"/>
            </a:ext>
          </a:extLst>
        </cdr:cNvPr>
        <cdr:cNvSpPr txBox="1"/>
      </cdr:nvSpPr>
      <cdr:spPr>
        <a:xfrm xmlns:a="http://schemas.openxmlformats.org/drawingml/2006/main">
          <a:off x="6756051" y="3116301"/>
          <a:ext cx="540237" cy="25681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600">
              <a:solidFill>
                <a:schemeClr val="tx1"/>
              </a:solidFill>
              <a:latin typeface="Calibri Light" panose="020F0302020204030204" pitchFamily="34" charset="0"/>
              <a:ea typeface="Calibri Light" panose="020F0302020204030204" pitchFamily="34" charset="0"/>
              <a:cs typeface="Calibri Light" panose="020F0302020204030204" pitchFamily="34" charset="0"/>
            </a:rPr>
            <a:t>24%</a:t>
          </a:r>
        </a:p>
      </cdr:txBody>
    </cdr:sp>
  </cdr:relSizeAnchor>
  <cdr:relSizeAnchor xmlns:cdr="http://schemas.openxmlformats.org/drawingml/2006/chartDrawing">
    <cdr:from>
      <cdr:x>0.898</cdr:x>
      <cdr:y>0.21149</cdr:y>
    </cdr:from>
    <cdr:to>
      <cdr:x>0.96088</cdr:x>
      <cdr:y>0.25934</cdr:y>
    </cdr:to>
    <cdr:sp macro="" textlink="">
      <cdr:nvSpPr>
        <cdr:cNvPr id="12" name="TextBox 1">
          <a:extLst xmlns:a="http://schemas.openxmlformats.org/drawingml/2006/main">
            <a:ext uri="{FF2B5EF4-FFF2-40B4-BE49-F238E27FC236}">
              <a16:creationId xmlns:a16="http://schemas.microsoft.com/office/drawing/2014/main" id="{8375F443-06F7-5B32-622B-9AFA944EE95D}"/>
            </a:ext>
          </a:extLst>
        </cdr:cNvPr>
        <cdr:cNvSpPr txBox="1"/>
      </cdr:nvSpPr>
      <cdr:spPr>
        <a:xfrm xmlns:a="http://schemas.openxmlformats.org/drawingml/2006/main">
          <a:off x="7715245" y="1135319"/>
          <a:ext cx="540237" cy="256873"/>
        </a:xfrm>
        <a:prstGeom xmlns:a="http://schemas.openxmlformats.org/drawingml/2006/main" prst="rect">
          <a:avLst/>
        </a:prstGeom>
        <a:solidFill xmlns:a="http://schemas.openxmlformats.org/drawingml/2006/main">
          <a:schemeClr val="bg1"/>
        </a:solidFill>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600" i="1">
              <a:solidFill>
                <a:schemeClr val="tx1"/>
              </a:solidFill>
              <a:latin typeface="Calibri Light" panose="020F0302020204030204" pitchFamily="34" charset="0"/>
              <a:ea typeface="Calibri Light" panose="020F0302020204030204" pitchFamily="34" charset="0"/>
              <a:cs typeface="Calibri Light" panose="020F0302020204030204" pitchFamily="34" charset="0"/>
            </a:rPr>
            <a:t>36%</a:t>
          </a:r>
        </a:p>
      </cdr:txBody>
    </cdr:sp>
  </cdr:relSizeAnchor>
  <cdr:relSizeAnchor xmlns:cdr="http://schemas.openxmlformats.org/drawingml/2006/chartDrawing">
    <cdr:from>
      <cdr:x>0.75991</cdr:x>
      <cdr:y>0.19404</cdr:y>
    </cdr:from>
    <cdr:to>
      <cdr:x>0.90054</cdr:x>
      <cdr:y>0.445</cdr:y>
    </cdr:to>
    <cdr:sp macro="" textlink="">
      <cdr:nvSpPr>
        <cdr:cNvPr id="13" name="TextBox 4">
          <a:extLst xmlns:a="http://schemas.openxmlformats.org/drawingml/2006/main">
            <a:ext uri="{FF2B5EF4-FFF2-40B4-BE49-F238E27FC236}">
              <a16:creationId xmlns:a16="http://schemas.microsoft.com/office/drawing/2014/main" id="{05C2A93E-45BF-ED9D-AA85-0157B92E8576}"/>
            </a:ext>
          </a:extLst>
        </cdr:cNvPr>
        <cdr:cNvSpPr txBox="1"/>
      </cdr:nvSpPr>
      <cdr:spPr>
        <a:xfrm xmlns:a="http://schemas.openxmlformats.org/drawingml/2006/main">
          <a:off x="6528791" y="1041685"/>
          <a:ext cx="1208230" cy="1347186"/>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400">
              <a:latin typeface="Calibri Light" panose="020F0302020204030204" pitchFamily="34" charset="0"/>
              <a:ea typeface="Calibri Light" panose="020F0302020204030204" pitchFamily="34" charset="0"/>
              <a:cs typeface="Calibri Light" panose="020F0302020204030204" pitchFamily="34" charset="0"/>
            </a:rPr>
            <a:t>Includes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€13.4 billion for 10 years</a:t>
          </a:r>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military vehicle maintenance</a:t>
          </a:r>
          <a:endPar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p>
      </cdr:txBody>
    </cdr:sp>
  </cdr:relSizeAnchor>
  <cdr:relSizeAnchor xmlns:cdr="http://schemas.openxmlformats.org/drawingml/2006/chartDrawing">
    <cdr:from>
      <cdr:x>0.82622</cdr:x>
      <cdr:y>0.4496</cdr:y>
    </cdr:from>
    <cdr:to>
      <cdr:x>0.89895</cdr:x>
      <cdr:y>0.5346</cdr:y>
    </cdr:to>
    <cdr:cxnSp macro="">
      <cdr:nvCxnSpPr>
        <cdr:cNvPr id="15" name="Straight Arrow Connector 14">
          <a:extLst xmlns:a="http://schemas.openxmlformats.org/drawingml/2006/main">
            <a:ext uri="{FF2B5EF4-FFF2-40B4-BE49-F238E27FC236}">
              <a16:creationId xmlns:a16="http://schemas.microsoft.com/office/drawing/2014/main" id="{C3F43E5A-F3AD-533D-B1F1-E994EB6DB884}"/>
            </a:ext>
          </a:extLst>
        </cdr:cNvPr>
        <cdr:cNvCxnSpPr/>
      </cdr:nvCxnSpPr>
      <cdr:spPr>
        <a:xfrm xmlns:a="http://schemas.openxmlformats.org/drawingml/2006/main">
          <a:off x="7157266" y="2099542"/>
          <a:ext cx="630037" cy="396932"/>
        </a:xfrm>
        <a:prstGeom xmlns:a="http://schemas.openxmlformats.org/drawingml/2006/main" prst="straightConnector1">
          <a:avLst/>
        </a:prstGeom>
        <a:ln xmlns:a="http://schemas.openxmlformats.org/drawingml/2006/main">
          <a:tailEnd type="triangle"/>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0.11699</cdr:x>
      <cdr:y>0.15315</cdr:y>
    </cdr:from>
    <cdr:to>
      <cdr:x>0.5791</cdr:x>
      <cdr:y>0.45777</cdr:y>
    </cdr:to>
    <cdr:sp macro="" textlink="">
      <cdr:nvSpPr>
        <cdr:cNvPr id="17" name="TextBox 3">
          <a:extLst xmlns:a="http://schemas.openxmlformats.org/drawingml/2006/main">
            <a:ext uri="{FF2B5EF4-FFF2-40B4-BE49-F238E27FC236}">
              <a16:creationId xmlns:a16="http://schemas.microsoft.com/office/drawing/2014/main" id="{D07259A3-884A-BC40-D200-5DF4F6B955D8}"/>
            </a:ext>
          </a:extLst>
        </cdr:cNvPr>
        <cdr:cNvSpPr txBox="1"/>
      </cdr:nvSpPr>
      <cdr:spPr>
        <a:xfrm xmlns:a="http://schemas.openxmlformats.org/drawingml/2006/main">
          <a:off x="1005166" y="822157"/>
          <a:ext cx="3970241" cy="1635293"/>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200" u="sng">
              <a:latin typeface="Calibri Light" panose="020F0302020204030204" pitchFamily="34" charset="0"/>
              <a:ea typeface="Calibri Light" panose="020F0302020204030204" pitchFamily="34" charset="0"/>
              <a:cs typeface="Calibri Light" panose="020F0302020204030204" pitchFamily="34" charset="0"/>
            </a:rPr>
            <a:t>Land includes:</a:t>
          </a:r>
        </a:p>
        <a:p xmlns:a="http://schemas.openxmlformats.org/drawingml/2006/main">
          <a:r>
            <a:rPr lang="en-US" sz="1200">
              <a:latin typeface="Calibri Light" panose="020F0302020204030204" pitchFamily="34" charset="0"/>
              <a:ea typeface="Calibri Light" panose="020F0302020204030204" pitchFamily="34" charset="0"/>
              <a:cs typeface="Calibri Light" panose="020F0302020204030204" pitchFamily="34" charset="0"/>
            </a:rPr>
            <a:t>Air defence system, Ammunition, Armoured vehicle,</a:t>
          </a:r>
          <a:r>
            <a:rPr lang="en-US" sz="1200" baseline="0">
              <a:latin typeface="Calibri Light" panose="020F0302020204030204" pitchFamily="34" charset="0"/>
              <a:ea typeface="Calibri Light" panose="020F0302020204030204" pitchFamily="34" charset="0"/>
              <a:cs typeface="Calibri Light" panose="020F0302020204030204" pitchFamily="34" charset="0"/>
            </a:rPr>
            <a:t> Artillery, Drone, Helicopter, Infantry, Main battle tank, Mine, Missile (Land)</a:t>
          </a:r>
        </a:p>
        <a:p xmlns:a="http://schemas.openxmlformats.org/drawingml/2006/main">
          <a:r>
            <a:rPr lang="en-US" sz="1200" u="sng" baseline="0">
              <a:latin typeface="Calibri Light" panose="020F0302020204030204" pitchFamily="34" charset="0"/>
              <a:ea typeface="Calibri Light" panose="020F0302020204030204" pitchFamily="34" charset="0"/>
              <a:cs typeface="Calibri Light" panose="020F0302020204030204" pitchFamily="34" charset="0"/>
            </a:rPr>
            <a:t>Other includes:</a:t>
          </a:r>
        </a:p>
        <a:p xmlns:a="http://schemas.openxmlformats.org/drawingml/2006/main">
          <a:r>
            <a:rPr lang="en-US" sz="1200" u="none" baseline="0">
              <a:latin typeface="Calibri Light" panose="020F0302020204030204" pitchFamily="34" charset="0"/>
              <a:ea typeface="Calibri Light" panose="020F0302020204030204" pitchFamily="34" charset="0"/>
              <a:cs typeface="Calibri Light" panose="020F0302020204030204" pitchFamily="34" charset="0"/>
            </a:rPr>
            <a:t>Maintenance, Modernisation, Other</a:t>
          </a:r>
        </a:p>
        <a:p xmlns:a="http://schemas.openxmlformats.org/drawingml/2006/main">
          <a:endParaRPr lang="en-US" sz="1200" u="none" baseline="0">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r>
            <a:rPr lang="en-US" sz="1200" u="none" baseline="0">
              <a:latin typeface="Calibri Light" panose="020F0302020204030204" pitchFamily="34" charset="0"/>
              <a:ea typeface="Calibri Light" panose="020F0302020204030204" pitchFamily="34" charset="0"/>
              <a:cs typeface="Calibri Light" panose="020F0302020204030204" pitchFamily="34" charset="0"/>
            </a:rPr>
            <a:t>Each category includes costs for development</a:t>
          </a:r>
          <a:endParaRPr lang="en-US" sz="1200" u="none">
            <a:latin typeface="Calibri Light" panose="020F0302020204030204" pitchFamily="34" charset="0"/>
            <a:ea typeface="Calibri Light" panose="020F0302020204030204" pitchFamily="34" charset="0"/>
            <a:cs typeface="Calibri Light" panose="020F0302020204030204" pitchFamily="34" charset="0"/>
          </a:endParaRPr>
        </a:p>
      </cdr:txBody>
    </cdr:sp>
  </cdr:relSizeAnchor>
</c:userShapes>
</file>

<file path=xl/drawings/drawing13.xml><?xml version="1.0" encoding="utf-8"?>
<xdr:wsDr xmlns:xdr="http://schemas.openxmlformats.org/drawingml/2006/spreadsheetDrawing" xmlns:a="http://schemas.openxmlformats.org/drawingml/2006/main">
  <xdr:twoCellAnchor>
    <xdr:from>
      <xdr:col>8</xdr:col>
      <xdr:colOff>7620</xdr:colOff>
      <xdr:row>4</xdr:row>
      <xdr:rowOff>194310</xdr:rowOff>
    </xdr:from>
    <xdr:to>
      <xdr:col>17</xdr:col>
      <xdr:colOff>647700</xdr:colOff>
      <xdr:row>26</xdr:row>
      <xdr:rowOff>22860</xdr:rowOff>
    </xdr:to>
    <mc:AlternateContent xmlns:mc="http://schemas.openxmlformats.org/markup-compatibility/2006">
      <mc:Choice xmlns:cx1="http://schemas.microsoft.com/office/drawing/2015/9/8/chartex" Requires="cx1">
        <xdr:graphicFrame macro="">
          <xdr:nvGraphicFramePr>
            <xdr:cNvPr id="2" name="Chart 1">
              <a:extLst>
                <a:ext uri="{FF2B5EF4-FFF2-40B4-BE49-F238E27FC236}">
                  <a16:creationId xmlns:a16="http://schemas.microsoft.com/office/drawing/2014/main" id="{4B0481BD-339C-5215-C543-70F2F9B9985A}"/>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8084820" y="2564130"/>
              <a:ext cx="6606540" cy="4255770"/>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17</xdr:col>
      <xdr:colOff>643890</xdr:colOff>
      <xdr:row>4</xdr:row>
      <xdr:rowOff>194310</xdr:rowOff>
    </xdr:from>
    <xdr:to>
      <xdr:col>28</xdr:col>
      <xdr:colOff>7620</xdr:colOff>
      <xdr:row>26</xdr:row>
      <xdr:rowOff>15240</xdr:rowOff>
    </xdr:to>
    <mc:AlternateContent xmlns:mc="http://schemas.openxmlformats.org/markup-compatibility/2006">
      <mc:Choice xmlns:cx1="http://schemas.microsoft.com/office/drawing/2015/9/8/chartex" Requires="cx1">
        <xdr:graphicFrame macro="">
          <xdr:nvGraphicFramePr>
            <xdr:cNvPr id="5" name="Chart 4">
              <a:extLst>
                <a:ext uri="{FF2B5EF4-FFF2-40B4-BE49-F238E27FC236}">
                  <a16:creationId xmlns:a16="http://schemas.microsoft.com/office/drawing/2014/main" id="{03294237-68F1-02CD-56A2-DBE99E41F58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14687550" y="2564130"/>
              <a:ext cx="6656070" cy="4248150"/>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8</xdr:col>
      <xdr:colOff>7620</xdr:colOff>
      <xdr:row>26</xdr:row>
      <xdr:rowOff>19050</xdr:rowOff>
    </xdr:from>
    <xdr:to>
      <xdr:col>17</xdr:col>
      <xdr:colOff>640080</xdr:colOff>
      <xdr:row>47</xdr:row>
      <xdr:rowOff>30480</xdr:rowOff>
    </xdr:to>
    <mc:AlternateContent xmlns:mc="http://schemas.openxmlformats.org/markup-compatibility/2006">
      <mc:Choice xmlns:cx1="http://schemas.microsoft.com/office/drawing/2015/9/8/chartex" Requires="cx1">
        <xdr:graphicFrame macro="">
          <xdr:nvGraphicFramePr>
            <xdr:cNvPr id="6" name="Chart 5">
              <a:extLst>
                <a:ext uri="{FF2B5EF4-FFF2-40B4-BE49-F238E27FC236}">
                  <a16:creationId xmlns:a16="http://schemas.microsoft.com/office/drawing/2014/main" id="{38031DE8-13E2-9087-B1AA-06E64D9A6D67}"/>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3"/>
            </a:graphicData>
          </a:graphic>
        </xdr:graphicFrame>
      </mc:Choice>
      <mc:Fallback>
        <xdr:sp macro="" textlink="">
          <xdr:nvSpPr>
            <xdr:cNvPr id="0" name=""/>
            <xdr:cNvSpPr>
              <a:spLocks noTextEdit="1"/>
            </xdr:cNvSpPr>
          </xdr:nvSpPr>
          <xdr:spPr>
            <a:xfrm>
              <a:off x="8084820" y="6816090"/>
              <a:ext cx="6598920" cy="4171950"/>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17</xdr:col>
      <xdr:colOff>647700</xdr:colOff>
      <xdr:row>26</xdr:row>
      <xdr:rowOff>19050</xdr:rowOff>
    </xdr:from>
    <xdr:to>
      <xdr:col>28</xdr:col>
      <xdr:colOff>15240</xdr:colOff>
      <xdr:row>47</xdr:row>
      <xdr:rowOff>38100</xdr:rowOff>
    </xdr:to>
    <mc:AlternateContent xmlns:mc="http://schemas.openxmlformats.org/markup-compatibility/2006">
      <mc:Choice xmlns:cx1="http://schemas.microsoft.com/office/drawing/2015/9/8/chartex" Requires="cx1">
        <xdr:graphicFrame macro="">
          <xdr:nvGraphicFramePr>
            <xdr:cNvPr id="7" name="Chart 6">
              <a:extLst>
                <a:ext uri="{FF2B5EF4-FFF2-40B4-BE49-F238E27FC236}">
                  <a16:creationId xmlns:a16="http://schemas.microsoft.com/office/drawing/2014/main" id="{01AD0D05-7CF1-653A-61DD-8767747FF431}"/>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4"/>
            </a:graphicData>
          </a:graphic>
        </xdr:graphicFrame>
      </mc:Choice>
      <mc:Fallback>
        <xdr:sp macro="" textlink="">
          <xdr:nvSpPr>
            <xdr:cNvPr id="0" name=""/>
            <xdr:cNvSpPr>
              <a:spLocks noTextEdit="1"/>
            </xdr:cNvSpPr>
          </xdr:nvSpPr>
          <xdr:spPr>
            <a:xfrm>
              <a:off x="14691360" y="6816090"/>
              <a:ext cx="6659880" cy="4179570"/>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8</xdr:col>
      <xdr:colOff>0</xdr:colOff>
      <xdr:row>47</xdr:row>
      <xdr:rowOff>38100</xdr:rowOff>
    </xdr:from>
    <xdr:to>
      <xdr:col>17</xdr:col>
      <xdr:colOff>655320</xdr:colOff>
      <xdr:row>68</xdr:row>
      <xdr:rowOff>60960</xdr:rowOff>
    </xdr:to>
    <mc:AlternateContent xmlns:mc="http://schemas.openxmlformats.org/markup-compatibility/2006">
      <mc:Choice xmlns:cx1="http://schemas.microsoft.com/office/drawing/2015/9/8/chartex" Requires="cx1">
        <xdr:graphicFrame macro="">
          <xdr:nvGraphicFramePr>
            <xdr:cNvPr id="8" name="Chart 7">
              <a:extLst>
                <a:ext uri="{FF2B5EF4-FFF2-40B4-BE49-F238E27FC236}">
                  <a16:creationId xmlns:a16="http://schemas.microsoft.com/office/drawing/2014/main" id="{DC10EE35-A5B9-1326-9105-1D38B8A2EE43}"/>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5"/>
            </a:graphicData>
          </a:graphic>
        </xdr:graphicFrame>
      </mc:Choice>
      <mc:Fallback>
        <xdr:sp macro="" textlink="">
          <xdr:nvSpPr>
            <xdr:cNvPr id="0" name=""/>
            <xdr:cNvSpPr>
              <a:spLocks noTextEdit="1"/>
            </xdr:cNvSpPr>
          </xdr:nvSpPr>
          <xdr:spPr>
            <a:xfrm>
              <a:off x="8077200" y="10995660"/>
              <a:ext cx="6621780" cy="4183380"/>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17</xdr:col>
      <xdr:colOff>651510</xdr:colOff>
      <xdr:row>47</xdr:row>
      <xdr:rowOff>34290</xdr:rowOff>
    </xdr:from>
    <xdr:to>
      <xdr:col>28</xdr:col>
      <xdr:colOff>30480</xdr:colOff>
      <xdr:row>68</xdr:row>
      <xdr:rowOff>60960</xdr:rowOff>
    </xdr:to>
    <mc:AlternateContent xmlns:mc="http://schemas.openxmlformats.org/markup-compatibility/2006">
      <mc:Choice xmlns:cx1="http://schemas.microsoft.com/office/drawing/2015/9/8/chartex" Requires="cx1">
        <xdr:graphicFrame macro="">
          <xdr:nvGraphicFramePr>
            <xdr:cNvPr id="14" name="Chart 13">
              <a:extLst>
                <a:ext uri="{FF2B5EF4-FFF2-40B4-BE49-F238E27FC236}">
                  <a16:creationId xmlns:a16="http://schemas.microsoft.com/office/drawing/2014/main" id="{BD8F57D0-A462-9576-2053-E6181F6D3D5C}"/>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6"/>
            </a:graphicData>
          </a:graphic>
        </xdr:graphicFrame>
      </mc:Choice>
      <mc:Fallback>
        <xdr:sp macro="" textlink="">
          <xdr:nvSpPr>
            <xdr:cNvPr id="0" name=""/>
            <xdr:cNvSpPr>
              <a:spLocks noTextEdit="1"/>
            </xdr:cNvSpPr>
          </xdr:nvSpPr>
          <xdr:spPr>
            <a:xfrm>
              <a:off x="14695170" y="10991850"/>
              <a:ext cx="6671310" cy="4187190"/>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14.xml><?xml version="1.0" encoding="utf-8"?>
<xdr:wsDr xmlns:xdr="http://schemas.openxmlformats.org/drawingml/2006/spreadsheetDrawing" xmlns:a="http://schemas.openxmlformats.org/drawingml/2006/main">
  <xdr:twoCellAnchor>
    <xdr:from>
      <xdr:col>7</xdr:col>
      <xdr:colOff>0</xdr:colOff>
      <xdr:row>5</xdr:row>
      <xdr:rowOff>0</xdr:rowOff>
    </xdr:from>
    <xdr:to>
      <xdr:col>25</xdr:col>
      <xdr:colOff>0</xdr:colOff>
      <xdr:row>37</xdr:row>
      <xdr:rowOff>0</xdr:rowOff>
    </xdr:to>
    <xdr:graphicFrame macro="">
      <xdr:nvGraphicFramePr>
        <xdr:cNvPr id="2" name="Chart 1">
          <a:extLst>
            <a:ext uri="{FF2B5EF4-FFF2-40B4-BE49-F238E27FC236}">
              <a16:creationId xmlns:a16="http://schemas.microsoft.com/office/drawing/2014/main" id="{23DC3CFD-BC76-4D85-87C1-215282E7D4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c:userShapes xmlns:c="http://schemas.openxmlformats.org/drawingml/2006/chart">
  <cdr:relSizeAnchor xmlns:cdr="http://schemas.openxmlformats.org/drawingml/2006/chartDrawing">
    <cdr:from>
      <cdr:x>0.04961</cdr:x>
      <cdr:y>0.08323</cdr:y>
    </cdr:from>
    <cdr:to>
      <cdr:x>0.18434</cdr:x>
      <cdr:y>0.16885</cdr:y>
    </cdr:to>
    <cdr:sp macro="" textlink="">
      <cdr:nvSpPr>
        <cdr:cNvPr id="3" name="TextBox 19">
          <a:extLst xmlns:a="http://schemas.openxmlformats.org/drawingml/2006/main">
            <a:ext uri="{FF2B5EF4-FFF2-40B4-BE49-F238E27FC236}">
              <a16:creationId xmlns:a16="http://schemas.microsoft.com/office/drawing/2014/main" id="{A2DED420-FAA1-BDF2-3E41-D437B3BA1BFF}"/>
            </a:ext>
          </a:extLst>
        </cdr:cNvPr>
        <cdr:cNvSpPr txBox="1"/>
      </cdr:nvSpPr>
      <cdr:spPr>
        <a:xfrm xmlns:a="http://schemas.openxmlformats.org/drawingml/2006/main">
          <a:off x="598815" y="533393"/>
          <a:ext cx="1626225" cy="548647"/>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600">
              <a:latin typeface="Calibri Light" panose="020F0302020204030204" pitchFamily="34" charset="0"/>
              <a:ea typeface="Calibri Light" panose="020F0302020204030204" pitchFamily="34" charset="0"/>
              <a:cs typeface="Calibri Light" panose="020F0302020204030204" pitchFamily="34" charset="0"/>
            </a:rPr>
            <a:t>billion Euros</a:t>
          </a:r>
        </a:p>
        <a:p xmlns:a="http://schemas.openxmlformats.org/drawingml/2006/main">
          <a:r>
            <a:rPr lang="en-US" sz="1600">
              <a:latin typeface="Calibri Light" panose="020F0302020204030204" pitchFamily="34" charset="0"/>
              <a:ea typeface="Calibri Light" panose="020F0302020204030204" pitchFamily="34" charset="0"/>
              <a:cs typeface="Calibri Light" panose="020F0302020204030204" pitchFamily="34" charset="0"/>
            </a:rPr>
            <a:t>Total:</a:t>
          </a:r>
          <a:r>
            <a:rPr lang="en-US" sz="1600" baseline="0">
              <a:latin typeface="Calibri Light" panose="020F0302020204030204" pitchFamily="34" charset="0"/>
              <a:ea typeface="Calibri Light" panose="020F0302020204030204" pitchFamily="34" charset="0"/>
              <a:cs typeface="Calibri Light" panose="020F0302020204030204" pitchFamily="34" charset="0"/>
            </a:rPr>
            <a:t> </a:t>
          </a:r>
          <a:r>
            <a:rPr lang="en-US" sz="16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€137.1 bn</a:t>
          </a:r>
          <a:endParaRPr lang="en-US" sz="1600">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0.16683</cdr:x>
      <cdr:y>0.22415</cdr:y>
    </cdr:from>
    <cdr:to>
      <cdr:x>0.33838</cdr:x>
      <cdr:y>0.29132</cdr:y>
    </cdr:to>
    <cdr:sp macro="" textlink="">
      <cdr:nvSpPr>
        <cdr:cNvPr id="4" name="TextBox 16">
          <a:extLst xmlns:a="http://schemas.openxmlformats.org/drawingml/2006/main">
            <a:ext uri="{FF2B5EF4-FFF2-40B4-BE49-F238E27FC236}">
              <a16:creationId xmlns:a16="http://schemas.microsoft.com/office/drawing/2014/main" id="{0A175FA4-0DC4-43AE-9263-493F919E58B3}"/>
            </a:ext>
          </a:extLst>
        </cdr:cNvPr>
        <cdr:cNvSpPr txBox="1"/>
      </cdr:nvSpPr>
      <cdr:spPr>
        <a:xfrm xmlns:a="http://schemas.openxmlformats.org/drawingml/2006/main">
          <a:off x="2013602" y="1436456"/>
          <a:ext cx="2070717" cy="430453"/>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latin typeface="Calibri Light" panose="020F0302020204030204" pitchFamily="34" charset="0"/>
              <a:ea typeface="Calibri Light" panose="020F0302020204030204" pitchFamily="34" charset="0"/>
              <a:cs typeface="Calibri Light" panose="020F0302020204030204" pitchFamily="34" charset="0"/>
            </a:rPr>
            <a:t>Class F126 ship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€5.6 bn</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IT operations -</a:t>
          </a:r>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€4.6 bn</a:t>
          </a:r>
          <a:endParaRPr lang="en-US" sz="14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p>
      </cdr:txBody>
    </cdr:sp>
  </cdr:relSizeAnchor>
  <cdr:relSizeAnchor xmlns:cdr="http://schemas.openxmlformats.org/drawingml/2006/chartDrawing">
    <cdr:from>
      <cdr:x>0.16452</cdr:x>
      <cdr:y>0.30585</cdr:y>
    </cdr:from>
    <cdr:to>
      <cdr:x>0.20905</cdr:x>
      <cdr:y>0.43942</cdr:y>
    </cdr:to>
    <cdr:cxnSp macro="">
      <cdr:nvCxnSpPr>
        <cdr:cNvPr id="5" name="Straight Arrow Connector 4">
          <a:extLst xmlns:a="http://schemas.openxmlformats.org/drawingml/2006/main">
            <a:ext uri="{FF2B5EF4-FFF2-40B4-BE49-F238E27FC236}">
              <a16:creationId xmlns:a16="http://schemas.microsoft.com/office/drawing/2014/main" id="{F6A9B282-F22E-4D5A-8252-50B50C71C91C}"/>
            </a:ext>
          </a:extLst>
        </cdr:cNvPr>
        <cdr:cNvCxnSpPr/>
      </cdr:nvCxnSpPr>
      <cdr:spPr>
        <a:xfrm xmlns:a="http://schemas.openxmlformats.org/drawingml/2006/main" flipH="1">
          <a:off x="1985737" y="1960022"/>
          <a:ext cx="537480" cy="855972"/>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0.37539</cdr:x>
      <cdr:y>0.10339</cdr:y>
    </cdr:from>
    <cdr:to>
      <cdr:x>0.54293</cdr:x>
      <cdr:y>0.31867</cdr:y>
    </cdr:to>
    <cdr:sp macro="" textlink="">
      <cdr:nvSpPr>
        <cdr:cNvPr id="6" name="TextBox 3">
          <a:extLst xmlns:a="http://schemas.openxmlformats.org/drawingml/2006/main">
            <a:ext uri="{FF2B5EF4-FFF2-40B4-BE49-F238E27FC236}">
              <a16:creationId xmlns:a16="http://schemas.microsoft.com/office/drawing/2014/main" id="{F8CAF2E1-8BF1-7DA9-D6F5-BC2B2354071F}"/>
            </a:ext>
          </a:extLst>
        </cdr:cNvPr>
        <cdr:cNvSpPr txBox="1"/>
      </cdr:nvSpPr>
      <cdr:spPr>
        <a:xfrm xmlns:a="http://schemas.openxmlformats.org/drawingml/2006/main">
          <a:off x="4531028" y="662592"/>
          <a:ext cx="2022172" cy="1379567"/>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Future Combat Air System project - €4.4 bn</a:t>
          </a:r>
          <a:endParaRPr lang="en-US" sz="14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Class 424 ship - €2.1 bn</a:t>
          </a:r>
        </a:p>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U212 submarine -</a:t>
          </a:r>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€2 bn</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P-8A Poseidon - €1.1 bn</a:t>
          </a:r>
          <a:endParaRPr lang="en-US" sz="14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Puma retrofit</a:t>
          </a:r>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€1 bn</a:t>
          </a:r>
          <a:endParaRPr lang="en-US" sz="1400">
            <a:latin typeface="Calibri Light" panose="020F0302020204030204" pitchFamily="34" charset="0"/>
            <a:ea typeface="Calibri Light" panose="020F0302020204030204" pitchFamily="34" charset="0"/>
            <a:cs typeface="Calibri Light" panose="020F0302020204030204" pitchFamily="34" charset="0"/>
          </a:endParaRPr>
        </a:p>
      </cdr:txBody>
    </cdr:sp>
  </cdr:relSizeAnchor>
  <cdr:relSizeAnchor xmlns:cdr="http://schemas.openxmlformats.org/drawingml/2006/chartDrawing">
    <cdr:from>
      <cdr:x>0.36678</cdr:x>
      <cdr:y>0.31714</cdr:y>
    </cdr:from>
    <cdr:to>
      <cdr:x>0.40585</cdr:x>
      <cdr:y>0.4246</cdr:y>
    </cdr:to>
    <cdr:cxnSp macro="">
      <cdr:nvCxnSpPr>
        <cdr:cNvPr id="11" name="Straight Arrow Connector 10">
          <a:extLst xmlns:a="http://schemas.openxmlformats.org/drawingml/2006/main">
            <a:ext uri="{FF2B5EF4-FFF2-40B4-BE49-F238E27FC236}">
              <a16:creationId xmlns:a16="http://schemas.microsoft.com/office/drawing/2014/main" id="{D28453E8-9CE1-4B63-7637-5833EDF664EA}"/>
            </a:ext>
          </a:extLst>
        </cdr:cNvPr>
        <cdr:cNvCxnSpPr/>
      </cdr:nvCxnSpPr>
      <cdr:spPr>
        <a:xfrm xmlns:a="http://schemas.openxmlformats.org/drawingml/2006/main" flipH="1">
          <a:off x="4427104" y="2032340"/>
          <a:ext cx="471578" cy="688649"/>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0.42992</cdr:x>
      <cdr:y>0.44547</cdr:y>
    </cdr:from>
    <cdr:to>
      <cdr:x>0.57007</cdr:x>
      <cdr:y>0.52081</cdr:y>
    </cdr:to>
    <cdr:sp macro="" textlink="">
      <cdr:nvSpPr>
        <cdr:cNvPr id="12" name="TextBox 14">
          <a:extLst xmlns:a="http://schemas.openxmlformats.org/drawingml/2006/main">
            <a:ext uri="{FF2B5EF4-FFF2-40B4-BE49-F238E27FC236}">
              <a16:creationId xmlns:a16="http://schemas.microsoft.com/office/drawing/2014/main" id="{888E77C8-9ADC-4DF3-9329-0A4B1D23BF68}"/>
            </a:ext>
          </a:extLst>
        </cdr:cNvPr>
        <cdr:cNvSpPr txBox="1"/>
      </cdr:nvSpPr>
      <cdr:spPr>
        <a:xfrm xmlns:a="http://schemas.openxmlformats.org/drawingml/2006/main">
          <a:off x="5189221" y="2854767"/>
          <a:ext cx="1691618" cy="482810"/>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latin typeface="Calibri Light" panose="020F0302020204030204" pitchFamily="34" charset="0"/>
              <a:ea typeface="Calibri Light" panose="020F0302020204030204" pitchFamily="34" charset="0"/>
              <a:cs typeface="Calibri Light" panose="020F0302020204030204" pitchFamily="34" charset="0"/>
            </a:rPr>
            <a:t>Clothing &amp; personal equipment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€6.9 bn</a:t>
          </a:r>
          <a:endParaRPr lang="en-US" sz="1400">
            <a:latin typeface="Calibri Light" panose="020F0302020204030204" pitchFamily="34" charset="0"/>
            <a:ea typeface="Calibri Light" panose="020F0302020204030204" pitchFamily="34" charset="0"/>
            <a:cs typeface="Calibri Light" panose="020F0302020204030204" pitchFamily="34" charset="0"/>
          </a:endParaRPr>
        </a:p>
      </cdr:txBody>
    </cdr:sp>
  </cdr:relSizeAnchor>
  <cdr:relSizeAnchor xmlns:cdr="http://schemas.openxmlformats.org/drawingml/2006/chartDrawing">
    <cdr:from>
      <cdr:x>0.51799</cdr:x>
      <cdr:y>0.52102</cdr:y>
    </cdr:from>
    <cdr:to>
      <cdr:x>0.56756</cdr:x>
      <cdr:y>0.64427</cdr:y>
    </cdr:to>
    <cdr:cxnSp macro="">
      <cdr:nvCxnSpPr>
        <cdr:cNvPr id="13" name="Straight Arrow Connector 12">
          <a:extLst xmlns:a="http://schemas.openxmlformats.org/drawingml/2006/main">
            <a:ext uri="{FF2B5EF4-FFF2-40B4-BE49-F238E27FC236}">
              <a16:creationId xmlns:a16="http://schemas.microsoft.com/office/drawing/2014/main" id="{1D620CBA-5BEF-4CC1-A026-7741866B087A}"/>
            </a:ext>
          </a:extLst>
        </cdr:cNvPr>
        <cdr:cNvCxnSpPr/>
      </cdr:nvCxnSpPr>
      <cdr:spPr>
        <a:xfrm xmlns:a="http://schemas.openxmlformats.org/drawingml/2006/main">
          <a:off x="6252193" y="3338923"/>
          <a:ext cx="598314" cy="789838"/>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0.50063</cdr:x>
      <cdr:y>0.36855</cdr:y>
    </cdr:from>
    <cdr:to>
      <cdr:x>0.65467</cdr:x>
      <cdr:y>0.41141</cdr:y>
    </cdr:to>
    <cdr:sp macro="" textlink="">
      <cdr:nvSpPr>
        <cdr:cNvPr id="15" name="TextBox 12">
          <a:extLst xmlns:a="http://schemas.openxmlformats.org/drawingml/2006/main">
            <a:ext uri="{FF2B5EF4-FFF2-40B4-BE49-F238E27FC236}">
              <a16:creationId xmlns:a16="http://schemas.microsoft.com/office/drawing/2014/main" id="{D8B1EB85-7BDE-42DC-917A-A95012AA7169}"/>
            </a:ext>
          </a:extLst>
        </cdr:cNvPr>
        <cdr:cNvSpPr txBox="1"/>
      </cdr:nvSpPr>
      <cdr:spPr>
        <a:xfrm xmlns:a="http://schemas.openxmlformats.org/drawingml/2006/main">
          <a:off x="6042661" y="2361825"/>
          <a:ext cx="1859250" cy="274665"/>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latin typeface="Calibri Light" panose="020F0302020204030204" pitchFamily="34" charset="0"/>
              <a:ea typeface="Calibri Light" panose="020F0302020204030204" pitchFamily="34" charset="0"/>
              <a:cs typeface="Calibri Light" panose="020F0302020204030204" pitchFamily="34" charset="0"/>
            </a:rPr>
            <a:t>F-35A fighter</a:t>
          </a:r>
          <a:r>
            <a:rPr lang="en-US" sz="1400" baseline="0">
              <a:latin typeface="Calibri Light" panose="020F0302020204030204" pitchFamily="34" charset="0"/>
              <a:ea typeface="Calibri Light" panose="020F0302020204030204" pitchFamily="34" charset="0"/>
              <a:cs typeface="Calibri Light" panose="020F0302020204030204" pitchFamily="34" charset="0"/>
            </a:rPr>
            <a:t>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€8.3 bn</a:t>
          </a:r>
          <a:endParaRPr lang="en-US" sz="1400">
            <a:latin typeface="Calibri Light" panose="020F0302020204030204" pitchFamily="34" charset="0"/>
            <a:ea typeface="Calibri Light" panose="020F0302020204030204" pitchFamily="34" charset="0"/>
            <a:cs typeface="Calibri Light" panose="020F0302020204030204" pitchFamily="34" charset="0"/>
          </a:endParaRPr>
        </a:p>
      </cdr:txBody>
    </cdr:sp>
  </cdr:relSizeAnchor>
  <cdr:relSizeAnchor xmlns:cdr="http://schemas.openxmlformats.org/drawingml/2006/chartDrawing">
    <cdr:from>
      <cdr:x>0.61</cdr:x>
      <cdr:y>0.41876</cdr:y>
    </cdr:from>
    <cdr:to>
      <cdr:x>0.65347</cdr:x>
      <cdr:y>0.52259</cdr:y>
    </cdr:to>
    <cdr:cxnSp macro="">
      <cdr:nvCxnSpPr>
        <cdr:cNvPr id="16" name="Straight Arrow Connector 15">
          <a:extLst xmlns:a="http://schemas.openxmlformats.org/drawingml/2006/main">
            <a:ext uri="{FF2B5EF4-FFF2-40B4-BE49-F238E27FC236}">
              <a16:creationId xmlns:a16="http://schemas.microsoft.com/office/drawing/2014/main" id="{A682EA32-FFBF-4CAB-A05C-8D3E80FB87CA}"/>
            </a:ext>
          </a:extLst>
        </cdr:cNvPr>
        <cdr:cNvCxnSpPr/>
      </cdr:nvCxnSpPr>
      <cdr:spPr>
        <a:xfrm xmlns:a="http://schemas.openxmlformats.org/drawingml/2006/main">
          <a:off x="7362793" y="2683614"/>
          <a:ext cx="524686" cy="665386"/>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0.6553</cdr:x>
      <cdr:y>0.35417</cdr:y>
    </cdr:from>
    <cdr:to>
      <cdr:x>0.81226</cdr:x>
      <cdr:y>0.40278</cdr:y>
    </cdr:to>
    <cdr:sp macro="" textlink="">
      <cdr:nvSpPr>
        <cdr:cNvPr id="18" name="TextBox 10">
          <a:extLst xmlns:a="http://schemas.openxmlformats.org/drawingml/2006/main">
            <a:ext uri="{FF2B5EF4-FFF2-40B4-BE49-F238E27FC236}">
              <a16:creationId xmlns:a16="http://schemas.microsoft.com/office/drawing/2014/main" id="{BF09E2E1-BBBB-4830-97C0-CBDB04F0B10E}"/>
            </a:ext>
          </a:extLst>
        </cdr:cNvPr>
        <cdr:cNvSpPr txBox="1"/>
      </cdr:nvSpPr>
      <cdr:spPr>
        <a:xfrm xmlns:a="http://schemas.openxmlformats.org/drawingml/2006/main">
          <a:off x="7819642" y="2269670"/>
          <a:ext cx="1872998" cy="311513"/>
        </a:xfrm>
        <a:prstGeom xmlns:a="http://schemas.openxmlformats.org/drawingml/2006/main" prst="rect">
          <a:avLst/>
        </a:prstGeom>
        <a:solidFill xmlns:a="http://schemas.openxmlformats.org/drawingml/2006/main">
          <a:sysClr val="window" lastClr="FFFFFF"/>
        </a:solidFill>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en-US" sz="1400">
              <a:latin typeface="Calibri Light" panose="020F0302020204030204" pitchFamily="34" charset="0"/>
              <a:ea typeface="Calibri Light" panose="020F0302020204030204" pitchFamily="34" charset="0"/>
              <a:cs typeface="Calibri Light" panose="020F0302020204030204" pitchFamily="34" charset="0"/>
            </a:rPr>
            <a:t>CH-47F Chinook - </a:t>
          </a:r>
          <a:r>
            <a:rPr lang="en-US" sz="1400">
              <a:solidFill>
                <a:schemeClr val="tx1"/>
              </a:solidFill>
              <a:effectLst/>
              <a:latin typeface="Calibri Light" panose="020F0302020204030204" pitchFamily="34" charset="0"/>
              <a:ea typeface="Calibri Light" panose="020F0302020204030204" pitchFamily="34" charset="0"/>
              <a:cs typeface="Calibri Light" panose="020F0302020204030204" pitchFamily="34" charset="0"/>
            </a:rPr>
            <a:t>€7 bn</a:t>
          </a:r>
        </a:p>
      </cdr:txBody>
    </cdr:sp>
  </cdr:relSizeAnchor>
  <cdr:relSizeAnchor xmlns:cdr="http://schemas.openxmlformats.org/drawingml/2006/chartDrawing">
    <cdr:from>
      <cdr:x>0.86394</cdr:x>
      <cdr:y>0.20282</cdr:y>
    </cdr:from>
    <cdr:to>
      <cdr:x>0.98737</cdr:x>
      <cdr:y>0.3151</cdr:y>
    </cdr:to>
    <cdr:sp macro="" textlink="">
      <cdr:nvSpPr>
        <cdr:cNvPr id="19" name="TextBox 9">
          <a:extLst xmlns:a="http://schemas.openxmlformats.org/drawingml/2006/main">
            <a:ext uri="{FF2B5EF4-FFF2-40B4-BE49-F238E27FC236}">
              <a16:creationId xmlns:a16="http://schemas.microsoft.com/office/drawing/2014/main" id="{D9DAF369-FD2E-45C9-97AB-917F35607EAB}"/>
            </a:ext>
          </a:extLst>
        </cdr:cNvPr>
        <cdr:cNvSpPr txBox="1"/>
      </cdr:nvSpPr>
      <cdr:spPr>
        <a:xfrm xmlns:a="http://schemas.openxmlformats.org/drawingml/2006/main">
          <a:off x="10427859" y="1299752"/>
          <a:ext cx="1489821" cy="719548"/>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400">
              <a:latin typeface="Calibri Light" panose="020F0302020204030204" pitchFamily="34" charset="0"/>
              <a:ea typeface="Calibri Light" panose="020F0302020204030204" pitchFamily="34" charset="0"/>
              <a:cs typeface="Calibri Light" panose="020F0302020204030204" pitchFamily="34" charset="0"/>
            </a:rPr>
            <a:t>Military vehicle maintentance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a:t>
          </a:r>
          <a:r>
            <a:rPr lang="en-US" sz="1400">
              <a:latin typeface="Calibri Light" panose="020F0302020204030204" pitchFamily="34" charset="0"/>
              <a:ea typeface="Calibri Light" panose="020F0302020204030204" pitchFamily="34" charset="0"/>
              <a:cs typeface="Calibri Light" panose="020F0302020204030204" pitchFamily="34" charset="0"/>
            </a:rPr>
            <a:t>13.4 bn</a:t>
          </a:r>
        </a:p>
        <a:p xmlns:a="http://schemas.openxmlformats.org/drawingml/2006/main">
          <a:endParaRPr lang="en-US" sz="1100"/>
        </a:p>
      </cdr:txBody>
    </cdr:sp>
  </cdr:relSizeAnchor>
  <cdr:relSizeAnchor xmlns:cdr="http://schemas.openxmlformats.org/drawingml/2006/chartDrawing">
    <cdr:from>
      <cdr:x>0.85859</cdr:x>
      <cdr:y>0.3162</cdr:y>
    </cdr:from>
    <cdr:to>
      <cdr:x>0.9005</cdr:x>
      <cdr:y>0.41142</cdr:y>
    </cdr:to>
    <cdr:cxnSp macro="">
      <cdr:nvCxnSpPr>
        <cdr:cNvPr id="20" name="Straight Arrow Connector 19">
          <a:extLst xmlns:a="http://schemas.openxmlformats.org/drawingml/2006/main">
            <a:ext uri="{FF2B5EF4-FFF2-40B4-BE49-F238E27FC236}">
              <a16:creationId xmlns:a16="http://schemas.microsoft.com/office/drawing/2014/main" id="{3479F456-9CA4-4669-8D3B-6D43AAB04EFD}"/>
            </a:ext>
          </a:extLst>
        </cdr:cNvPr>
        <cdr:cNvCxnSpPr/>
      </cdr:nvCxnSpPr>
      <cdr:spPr>
        <a:xfrm xmlns:a="http://schemas.openxmlformats.org/drawingml/2006/main" flipH="1">
          <a:off x="10363211" y="2026319"/>
          <a:ext cx="505857" cy="610209"/>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0.72468</cdr:x>
      <cdr:y>0.40418</cdr:y>
    </cdr:from>
    <cdr:to>
      <cdr:x>0.77131</cdr:x>
      <cdr:y>0.53533</cdr:y>
    </cdr:to>
    <cdr:cxnSp macro="">
      <cdr:nvCxnSpPr>
        <cdr:cNvPr id="10" name="Straight Arrow Connector 9">
          <a:extLst xmlns:a="http://schemas.openxmlformats.org/drawingml/2006/main">
            <a:ext uri="{FF2B5EF4-FFF2-40B4-BE49-F238E27FC236}">
              <a16:creationId xmlns:a16="http://schemas.microsoft.com/office/drawing/2014/main" id="{85F54556-EBE9-FA9E-E51F-4184F6101A37}"/>
            </a:ext>
          </a:extLst>
        </cdr:cNvPr>
        <cdr:cNvCxnSpPr/>
      </cdr:nvCxnSpPr>
      <cdr:spPr>
        <a:xfrm xmlns:a="http://schemas.openxmlformats.org/drawingml/2006/main">
          <a:off x="8746942" y="2590141"/>
          <a:ext cx="562828" cy="840465"/>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0.87626</cdr:x>
      <cdr:y>0.38961</cdr:y>
    </cdr:from>
    <cdr:to>
      <cdr:x>1</cdr:x>
      <cdr:y>0.43248</cdr:y>
    </cdr:to>
    <cdr:sp macro="" textlink="">
      <cdr:nvSpPr>
        <cdr:cNvPr id="7" name="TextBox 12">
          <a:extLst xmlns:a="http://schemas.openxmlformats.org/drawingml/2006/main">
            <a:ext uri="{FF2B5EF4-FFF2-40B4-BE49-F238E27FC236}">
              <a16:creationId xmlns:a16="http://schemas.microsoft.com/office/drawing/2014/main" id="{BB49FA5D-1BFF-4369-B055-61006AD87B49}"/>
            </a:ext>
          </a:extLst>
        </cdr:cNvPr>
        <cdr:cNvSpPr txBox="1"/>
      </cdr:nvSpPr>
      <cdr:spPr>
        <a:xfrm xmlns:a="http://schemas.openxmlformats.org/drawingml/2006/main">
          <a:off x="10576561" y="2496789"/>
          <a:ext cx="1493519" cy="274729"/>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baseline="0">
              <a:latin typeface="Calibri Light" panose="020F0302020204030204" pitchFamily="34" charset="0"/>
              <a:ea typeface="Calibri Light" panose="020F0302020204030204" pitchFamily="34" charset="0"/>
              <a:cs typeface="Calibri Light" panose="020F0302020204030204" pitchFamily="34" charset="0"/>
            </a:rPr>
            <a:t>Satellite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€2.2 bn</a:t>
          </a:r>
          <a:endParaRPr lang="en-US" sz="1400">
            <a:latin typeface="Calibri Light" panose="020F0302020204030204" pitchFamily="34" charset="0"/>
            <a:ea typeface="Calibri Light" panose="020F0302020204030204" pitchFamily="34" charset="0"/>
            <a:cs typeface="Calibri Light" panose="020F0302020204030204" pitchFamily="34" charset="0"/>
          </a:endParaRPr>
        </a:p>
      </cdr:txBody>
    </cdr:sp>
  </cdr:relSizeAnchor>
  <cdr:relSizeAnchor xmlns:cdr="http://schemas.openxmlformats.org/drawingml/2006/chartDrawing">
    <cdr:from>
      <cdr:x>0.91203</cdr:x>
      <cdr:y>0.43123</cdr:y>
    </cdr:from>
    <cdr:to>
      <cdr:x>0.9555</cdr:x>
      <cdr:y>0.53506</cdr:y>
    </cdr:to>
    <cdr:cxnSp macro="">
      <cdr:nvCxnSpPr>
        <cdr:cNvPr id="8" name="Straight Arrow Connector 7">
          <a:extLst xmlns:a="http://schemas.openxmlformats.org/drawingml/2006/main">
            <a:ext uri="{FF2B5EF4-FFF2-40B4-BE49-F238E27FC236}">
              <a16:creationId xmlns:a16="http://schemas.microsoft.com/office/drawing/2014/main" id="{B9534851-DB9E-6B1D-1D16-CBC92767393F}"/>
            </a:ext>
          </a:extLst>
        </cdr:cNvPr>
        <cdr:cNvCxnSpPr/>
      </cdr:nvCxnSpPr>
      <cdr:spPr>
        <a:xfrm xmlns:a="http://schemas.openxmlformats.org/drawingml/2006/main">
          <a:off x="11008313" y="2763496"/>
          <a:ext cx="524686" cy="665386"/>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userShapes>
</file>

<file path=xl/drawings/drawing16.xml><?xml version="1.0" encoding="utf-8"?>
<xdr:wsDr xmlns:xdr="http://schemas.openxmlformats.org/drawingml/2006/spreadsheetDrawing" xmlns:a="http://schemas.openxmlformats.org/drawingml/2006/main">
  <xdr:twoCellAnchor>
    <xdr:from>
      <xdr:col>7</xdr:col>
      <xdr:colOff>659130</xdr:colOff>
      <xdr:row>4</xdr:row>
      <xdr:rowOff>194310</xdr:rowOff>
    </xdr:from>
    <xdr:to>
      <xdr:col>22</xdr:col>
      <xdr:colOff>205740</xdr:colOff>
      <xdr:row>22</xdr:row>
      <xdr:rowOff>121920</xdr:rowOff>
    </xdr:to>
    <xdr:graphicFrame macro="">
      <xdr:nvGraphicFramePr>
        <xdr:cNvPr id="2" name="Chart 1">
          <a:extLst>
            <a:ext uri="{FF2B5EF4-FFF2-40B4-BE49-F238E27FC236}">
              <a16:creationId xmlns:a16="http://schemas.microsoft.com/office/drawing/2014/main" id="{37139F3F-69A5-1077-2E8F-D770489C07F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c:userShapes xmlns:c="http://schemas.openxmlformats.org/drawingml/2006/chart">
  <cdr:relSizeAnchor xmlns:cdr="http://schemas.openxmlformats.org/drawingml/2006/chartDrawing">
    <cdr:from>
      <cdr:x>0.78659</cdr:x>
      <cdr:y>0.02178</cdr:y>
    </cdr:from>
    <cdr:to>
      <cdr:x>0.99398</cdr:x>
      <cdr:y>0.18075</cdr:y>
    </cdr:to>
    <cdr:sp macro="" textlink="">
      <cdr:nvSpPr>
        <cdr:cNvPr id="2" name="TextBox 19">
          <a:extLst xmlns:a="http://schemas.openxmlformats.org/drawingml/2006/main">
            <a:ext uri="{FF2B5EF4-FFF2-40B4-BE49-F238E27FC236}">
              <a16:creationId xmlns:a16="http://schemas.microsoft.com/office/drawing/2014/main" id="{57FA2436-B935-39F0-DF62-332691C0FB19}"/>
            </a:ext>
          </a:extLst>
        </cdr:cNvPr>
        <cdr:cNvSpPr txBox="1"/>
      </cdr:nvSpPr>
      <cdr:spPr>
        <a:xfrm xmlns:a="http://schemas.openxmlformats.org/drawingml/2006/main">
          <a:off x="6122671" y="77572"/>
          <a:ext cx="1614334" cy="566318"/>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600">
              <a:latin typeface="Calibri Light" panose="020F0302020204030204" pitchFamily="34" charset="0"/>
              <a:ea typeface="Calibri Light" panose="020F0302020204030204" pitchFamily="34" charset="0"/>
              <a:cs typeface="Calibri Light" panose="020F0302020204030204" pitchFamily="34" charset="0"/>
            </a:rPr>
            <a:t>billion Euros</a:t>
          </a:r>
        </a:p>
        <a:p xmlns:a="http://schemas.openxmlformats.org/drawingml/2006/main">
          <a:r>
            <a:rPr lang="en-US" sz="1600">
              <a:latin typeface="Calibri Light" panose="020F0302020204030204" pitchFamily="34" charset="0"/>
              <a:ea typeface="Calibri Light" panose="020F0302020204030204" pitchFamily="34" charset="0"/>
              <a:cs typeface="Calibri Light" panose="020F0302020204030204" pitchFamily="34" charset="0"/>
            </a:rPr>
            <a:t>Total:</a:t>
          </a:r>
          <a:r>
            <a:rPr lang="en-US" sz="1600" baseline="0">
              <a:latin typeface="Calibri Light" panose="020F0302020204030204" pitchFamily="34" charset="0"/>
              <a:ea typeface="Calibri Light" panose="020F0302020204030204" pitchFamily="34" charset="0"/>
              <a:cs typeface="Calibri Light" panose="020F0302020204030204" pitchFamily="34" charset="0"/>
            </a:rPr>
            <a:t> </a:t>
          </a:r>
          <a:r>
            <a:rPr lang="en-US" sz="16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€137.1 bn</a:t>
          </a:r>
          <a:endParaRPr lang="en-US" sz="1600">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0.15774</cdr:x>
      <cdr:y>0.12417</cdr:y>
    </cdr:from>
    <cdr:to>
      <cdr:x>0.27264</cdr:x>
      <cdr:y>0.19358</cdr:y>
    </cdr:to>
    <cdr:sp macro="" textlink="">
      <cdr:nvSpPr>
        <cdr:cNvPr id="3" name="TextBox 19">
          <a:extLst xmlns:a="http://schemas.openxmlformats.org/drawingml/2006/main">
            <a:ext uri="{FF2B5EF4-FFF2-40B4-BE49-F238E27FC236}">
              <a16:creationId xmlns:a16="http://schemas.microsoft.com/office/drawing/2014/main" id="{16E67DC5-A514-7BDB-B14C-D9CCC6C29954}"/>
            </a:ext>
          </a:extLst>
        </cdr:cNvPr>
        <cdr:cNvSpPr txBox="1"/>
      </cdr:nvSpPr>
      <cdr:spPr>
        <a:xfrm xmlns:a="http://schemas.openxmlformats.org/drawingml/2006/main">
          <a:off x="1227830" y="442327"/>
          <a:ext cx="894340" cy="247283"/>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€47.3 bn</a:t>
          </a:r>
          <a:endParaRPr lang="en-US" sz="1400">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0.83757</cdr:x>
      <cdr:y>0.68004</cdr:y>
    </cdr:from>
    <cdr:to>
      <cdr:x>0.93441</cdr:x>
      <cdr:y>0.74332</cdr:y>
    </cdr:to>
    <cdr:sp macro="" textlink="">
      <cdr:nvSpPr>
        <cdr:cNvPr id="4" name="TextBox 19">
          <a:extLst xmlns:a="http://schemas.openxmlformats.org/drawingml/2006/main">
            <a:ext uri="{FF2B5EF4-FFF2-40B4-BE49-F238E27FC236}">
              <a16:creationId xmlns:a16="http://schemas.microsoft.com/office/drawing/2014/main" id="{16E67DC5-A514-7BDB-B14C-D9CCC6C29954}"/>
            </a:ext>
          </a:extLst>
        </cdr:cNvPr>
        <cdr:cNvSpPr txBox="1"/>
      </cdr:nvSpPr>
      <cdr:spPr>
        <a:xfrm xmlns:a="http://schemas.openxmlformats.org/drawingml/2006/main">
          <a:off x="6519536" y="2422545"/>
          <a:ext cx="753754" cy="225406"/>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€4.9 bn</a:t>
          </a:r>
          <a:endParaRPr lang="en-US" sz="1400">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0.38451</cdr:x>
      <cdr:y>0.25641</cdr:y>
    </cdr:from>
    <cdr:to>
      <cdr:x>0.49388</cdr:x>
      <cdr:y>0.3262</cdr:y>
    </cdr:to>
    <cdr:sp macro="" textlink="">
      <cdr:nvSpPr>
        <cdr:cNvPr id="5" name="TextBox 19">
          <a:extLst xmlns:a="http://schemas.openxmlformats.org/drawingml/2006/main">
            <a:ext uri="{FF2B5EF4-FFF2-40B4-BE49-F238E27FC236}">
              <a16:creationId xmlns:a16="http://schemas.microsoft.com/office/drawing/2014/main" id="{16E67DC5-A514-7BDB-B14C-D9CCC6C29954}"/>
            </a:ext>
          </a:extLst>
        </cdr:cNvPr>
        <cdr:cNvSpPr txBox="1"/>
      </cdr:nvSpPr>
      <cdr:spPr>
        <a:xfrm xmlns:a="http://schemas.openxmlformats.org/drawingml/2006/main">
          <a:off x="2992945" y="913408"/>
          <a:ext cx="851345" cy="248642"/>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€37.2 bn</a:t>
          </a:r>
          <a:endParaRPr lang="en-US" sz="1400">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0.61052</cdr:x>
      <cdr:y>0.12018</cdr:y>
    </cdr:from>
    <cdr:to>
      <cdr:x>0.71708</cdr:x>
      <cdr:y>0.18075</cdr:y>
    </cdr:to>
    <cdr:sp macro="" textlink="">
      <cdr:nvSpPr>
        <cdr:cNvPr id="6" name="TextBox 19">
          <a:extLst xmlns:a="http://schemas.openxmlformats.org/drawingml/2006/main">
            <a:ext uri="{FF2B5EF4-FFF2-40B4-BE49-F238E27FC236}">
              <a16:creationId xmlns:a16="http://schemas.microsoft.com/office/drawing/2014/main" id="{16E67DC5-A514-7BDB-B14C-D9CCC6C29954}"/>
            </a:ext>
          </a:extLst>
        </cdr:cNvPr>
        <cdr:cNvSpPr txBox="1"/>
      </cdr:nvSpPr>
      <cdr:spPr>
        <a:xfrm xmlns:a="http://schemas.openxmlformats.org/drawingml/2006/main">
          <a:off x="4752200" y="428114"/>
          <a:ext cx="829449" cy="215776"/>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€47.8 bn</a:t>
          </a:r>
          <a:endParaRPr lang="en-US" sz="1400">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userShapes>
</file>

<file path=xl/drawings/drawing18.xml><?xml version="1.0" encoding="utf-8"?>
<xdr:wsDr xmlns:xdr="http://schemas.openxmlformats.org/drawingml/2006/spreadsheetDrawing" xmlns:a="http://schemas.openxmlformats.org/drawingml/2006/main">
  <xdr:twoCellAnchor editAs="oneCell">
    <xdr:from>
      <xdr:col>2</xdr:col>
      <xdr:colOff>0</xdr:colOff>
      <xdr:row>9</xdr:row>
      <xdr:rowOff>30120</xdr:rowOff>
    </xdr:from>
    <xdr:to>
      <xdr:col>2</xdr:col>
      <xdr:colOff>360</xdr:colOff>
      <xdr:row>9</xdr:row>
      <xdr:rowOff>30480</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11" name="Ink 10">
              <a:extLst>
                <a:ext uri="{FF2B5EF4-FFF2-40B4-BE49-F238E27FC236}">
                  <a16:creationId xmlns:a16="http://schemas.microsoft.com/office/drawing/2014/main" id="{26871F64-FF75-E5B9-6AD7-D430599628C7}"/>
                </a:ext>
              </a:extLst>
            </xdr14:cNvPr>
            <xdr14:cNvContentPartPr/>
          </xdr14:nvContentPartPr>
          <xdr14:nvPr macro=""/>
          <xdr14:xfrm>
            <a:off x="12397620" y="1813200"/>
            <a:ext cx="360" cy="360"/>
          </xdr14:xfrm>
        </xdr:contentPart>
      </mc:Choice>
      <mc:Fallback xmlns="">
        <xdr:pic>
          <xdr:nvPicPr>
            <xdr:cNvPr id="11" name="Ink 10">
              <a:extLst>
                <a:ext uri="{FF2B5EF4-FFF2-40B4-BE49-F238E27FC236}">
                  <a16:creationId xmlns:a16="http://schemas.microsoft.com/office/drawing/2014/main" id="{26871F64-FF75-E5B9-6AD7-D430599628C7}"/>
                </a:ext>
              </a:extLst>
            </xdr:cNvPr>
            <xdr:cNvPicPr/>
          </xdr:nvPicPr>
          <xdr:blipFill>
            <a:blip xmlns:r="http://schemas.openxmlformats.org/officeDocument/2006/relationships" r:embed="rId7"/>
            <a:stretch>
              <a:fillRect/>
            </a:stretch>
          </xdr:blipFill>
          <xdr:spPr>
            <a:xfrm>
              <a:off x="12388620" y="1804560"/>
              <a:ext cx="18000" cy="18000"/>
            </a:xfrm>
            <a:prstGeom prst="rect">
              <a:avLst/>
            </a:prstGeom>
          </xdr:spPr>
        </xdr:pic>
      </mc:Fallback>
    </mc:AlternateContent>
    <xdr:clientData/>
  </xdr:twoCellAnchor>
  <xdr:twoCellAnchor>
    <xdr:from>
      <xdr:col>17</xdr:col>
      <xdr:colOff>7620</xdr:colOff>
      <xdr:row>5</xdr:row>
      <xdr:rowOff>7620</xdr:rowOff>
    </xdr:from>
    <xdr:to>
      <xdr:col>27</xdr:col>
      <xdr:colOff>716280</xdr:colOff>
      <xdr:row>28</xdr:row>
      <xdr:rowOff>0</xdr:rowOff>
    </xdr:to>
    <xdr:graphicFrame macro="">
      <xdr:nvGraphicFramePr>
        <xdr:cNvPr id="8" name="Chart 7">
          <a:extLst>
            <a:ext uri="{FF2B5EF4-FFF2-40B4-BE49-F238E27FC236}">
              <a16:creationId xmlns:a16="http://schemas.microsoft.com/office/drawing/2014/main" id="{6E5E720F-2991-44B5-ADA8-DC32813DC1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2</xdr:col>
      <xdr:colOff>0</xdr:colOff>
      <xdr:row>8</xdr:row>
      <xdr:rowOff>30120</xdr:rowOff>
    </xdr:from>
    <xdr:to>
      <xdr:col>2</xdr:col>
      <xdr:colOff>360</xdr:colOff>
      <xdr:row>8</xdr:row>
      <xdr:rowOff>30480</xdr:rowOff>
    </xdr:to>
    <mc:AlternateContent xmlns:mc="http://schemas.openxmlformats.org/markup-compatibility/2006" xmlns:xdr14="http://schemas.microsoft.com/office/excel/2010/spreadsheetDrawing">
      <mc:Choice Requires="xdr14">
        <xdr:contentPart xmlns:r="http://schemas.openxmlformats.org/officeDocument/2006/relationships" r:id="rId9">
          <xdr14:nvContentPartPr>
            <xdr14:cNvPr id="2" name="Ink 10">
              <a:extLst>
                <a:ext uri="{FF2B5EF4-FFF2-40B4-BE49-F238E27FC236}">
                  <a16:creationId xmlns:a16="http://schemas.microsoft.com/office/drawing/2014/main" id="{9C3C4B04-A43F-4614-A899-9907753E39CE}"/>
                </a:ext>
                <a:ext uri="{147F2762-F138-4A5C-976F-8EAC2B608ADB}">
                  <a16:predDERef xmlns:a16="http://schemas.microsoft.com/office/drawing/2014/main" pred="{6E5E720F-2991-44B5-ADA8-DC32813DC1DB}"/>
                </a:ext>
              </a:extLst>
            </xdr14:cNvPr>
            <xdr14:cNvContentPartPr/>
          </xdr14:nvContentPartPr>
          <xdr14:nvPr macro=""/>
          <xdr14:xfrm>
            <a:off x="12397620" y="1813200"/>
            <a:ext cx="360" cy="360"/>
          </xdr14:xfrm>
        </xdr:contentPart>
      </mc:Choice>
      <mc:Fallback xmlns="">
        <xdr:pic>
          <xdr:nvPicPr>
            <xdr:cNvPr id="11" name="Ink 10">
              <a:extLst>
                <a:ext uri="{FF2B5EF4-FFF2-40B4-BE49-F238E27FC236}">
                  <a16:creationId xmlns:a16="http://schemas.microsoft.com/office/drawing/2014/main" id="{26871F64-FF75-E5B9-6AD7-D430599628C7}"/>
                </a:ext>
              </a:extLst>
            </xdr:cNvPr>
            <xdr:cNvPicPr/>
          </xdr:nvPicPr>
          <xdr:blipFill>
            <a:blip xmlns:r="http://schemas.openxmlformats.org/officeDocument/2006/relationships" r:embed="rId7"/>
            <a:stretch>
              <a:fillRect/>
            </a:stretch>
          </xdr:blipFill>
          <xdr:spPr>
            <a:xfrm>
              <a:off x="12388620" y="1804560"/>
              <a:ext cx="18000" cy="18000"/>
            </a:xfrm>
            <a:prstGeom prst="rect">
              <a:avLst/>
            </a:prstGeom>
          </xdr:spPr>
        </xdr:pic>
      </mc:Fallback>
    </mc:AlternateContent>
    <xdr:clientData/>
  </xdr:twoCellAnchor>
  <xdr:twoCellAnchor editAs="oneCell">
    <xdr:from>
      <xdr:col>2</xdr:col>
      <xdr:colOff>0</xdr:colOff>
      <xdr:row>6</xdr:row>
      <xdr:rowOff>30120</xdr:rowOff>
    </xdr:from>
    <xdr:to>
      <xdr:col>2</xdr:col>
      <xdr:colOff>360</xdr:colOff>
      <xdr:row>6</xdr:row>
      <xdr:rowOff>30480</xdr:rowOff>
    </xdr:to>
    <mc:AlternateContent xmlns:mc="http://schemas.openxmlformats.org/markup-compatibility/2006" xmlns:xdr14="http://schemas.microsoft.com/office/excel/2010/spreadsheetDrawing">
      <mc:Choice Requires="xdr14">
        <xdr:contentPart xmlns:r="http://schemas.openxmlformats.org/officeDocument/2006/relationships" r:id="rId10">
          <xdr14:nvContentPartPr>
            <xdr14:cNvPr id="3" name="Ink 10">
              <a:extLst>
                <a:ext uri="{FF2B5EF4-FFF2-40B4-BE49-F238E27FC236}">
                  <a16:creationId xmlns:a16="http://schemas.microsoft.com/office/drawing/2014/main" id="{7490FAEE-E7DA-43A8-8CAA-46CBB8B3C77E}"/>
                </a:ext>
                <a:ext uri="{147F2762-F138-4A5C-976F-8EAC2B608ADB}">
                  <a16:predDERef xmlns:a16="http://schemas.microsoft.com/office/drawing/2014/main" pred="{9C3C4B04-A43F-4614-A899-9907753E39CE}"/>
                </a:ext>
              </a:extLst>
            </xdr14:cNvPr>
            <xdr14:cNvContentPartPr/>
          </xdr14:nvContentPartPr>
          <xdr14:nvPr macro=""/>
          <xdr14:xfrm>
            <a:off x="12397620" y="1813200"/>
            <a:ext cx="360" cy="360"/>
          </xdr14:xfrm>
        </xdr:contentPart>
      </mc:Choice>
      <mc:Fallback xmlns="">
        <xdr:pic>
          <xdr:nvPicPr>
            <xdr:cNvPr id="11" name="Ink 10">
              <a:extLst>
                <a:ext uri="{FF2B5EF4-FFF2-40B4-BE49-F238E27FC236}">
                  <a16:creationId xmlns:a16="http://schemas.microsoft.com/office/drawing/2014/main" id="{26871F64-FF75-E5B9-6AD7-D430599628C7}"/>
                </a:ext>
              </a:extLst>
            </xdr:cNvPr>
            <xdr:cNvPicPr/>
          </xdr:nvPicPr>
          <xdr:blipFill>
            <a:blip xmlns:r="http://schemas.openxmlformats.org/officeDocument/2006/relationships" r:embed="rId7"/>
            <a:stretch>
              <a:fillRect/>
            </a:stretch>
          </xdr:blipFill>
          <xdr:spPr>
            <a:xfrm>
              <a:off x="12388620" y="1804560"/>
              <a:ext cx="18000" cy="18000"/>
            </a:xfrm>
            <a:prstGeom prst="rect">
              <a:avLst/>
            </a:prstGeom>
          </xdr:spPr>
        </xdr:pic>
      </mc:Fallback>
    </mc:AlternateContent>
    <xdr:clientData/>
  </xdr:twoCellAnchor>
  <xdr:twoCellAnchor editAs="oneCell">
    <xdr:from>
      <xdr:col>2</xdr:col>
      <xdr:colOff>0</xdr:colOff>
      <xdr:row>7</xdr:row>
      <xdr:rowOff>30120</xdr:rowOff>
    </xdr:from>
    <xdr:to>
      <xdr:col>2</xdr:col>
      <xdr:colOff>360</xdr:colOff>
      <xdr:row>7</xdr:row>
      <xdr:rowOff>30480</xdr:rowOff>
    </xdr:to>
    <mc:AlternateContent xmlns:mc="http://schemas.openxmlformats.org/markup-compatibility/2006" xmlns:xdr14="http://schemas.microsoft.com/office/excel/2010/spreadsheetDrawing">
      <mc:Choice Requires="xdr14">
        <xdr:contentPart xmlns:r="http://schemas.openxmlformats.org/officeDocument/2006/relationships" r:id="rId11">
          <xdr14:nvContentPartPr>
            <xdr14:cNvPr id="4" name="Ink 10">
              <a:extLst>
                <a:ext uri="{FF2B5EF4-FFF2-40B4-BE49-F238E27FC236}">
                  <a16:creationId xmlns:a16="http://schemas.microsoft.com/office/drawing/2014/main" id="{F19D0C19-55C9-4C4D-8F65-C12103C8E4C3}"/>
                </a:ext>
                <a:ext uri="{147F2762-F138-4A5C-976F-8EAC2B608ADB}">
                  <a16:predDERef xmlns:a16="http://schemas.microsoft.com/office/drawing/2014/main" pred="{7490FAEE-E7DA-43A8-8CAA-46CBB8B3C77E}"/>
                </a:ext>
              </a:extLst>
            </xdr14:cNvPr>
            <xdr14:cNvContentPartPr/>
          </xdr14:nvContentPartPr>
          <xdr14:nvPr macro=""/>
          <xdr14:xfrm>
            <a:off x="12397620" y="1813200"/>
            <a:ext cx="360" cy="360"/>
          </xdr14:xfrm>
        </xdr:contentPart>
      </mc:Choice>
      <mc:Fallback xmlns="">
        <xdr:pic>
          <xdr:nvPicPr>
            <xdr:cNvPr id="11" name="Ink 10">
              <a:extLst>
                <a:ext uri="{FF2B5EF4-FFF2-40B4-BE49-F238E27FC236}">
                  <a16:creationId xmlns:a16="http://schemas.microsoft.com/office/drawing/2014/main" id="{26871F64-FF75-E5B9-6AD7-D430599628C7}"/>
                </a:ext>
              </a:extLst>
            </xdr:cNvPr>
            <xdr:cNvPicPr/>
          </xdr:nvPicPr>
          <xdr:blipFill>
            <a:blip xmlns:r="http://schemas.openxmlformats.org/officeDocument/2006/relationships" r:embed="rId7"/>
            <a:stretch>
              <a:fillRect/>
            </a:stretch>
          </xdr:blipFill>
          <xdr:spPr>
            <a:xfrm>
              <a:off x="12388620" y="1804560"/>
              <a:ext cx="18000" cy="18000"/>
            </a:xfrm>
            <a:prstGeom prst="rect">
              <a:avLst/>
            </a:prstGeom>
          </xdr:spPr>
        </xdr:pic>
      </mc:Fallback>
    </mc:AlternateContent>
    <xdr:clientData/>
  </xdr:twoCellAnchor>
</xdr:wsDr>
</file>

<file path=xl/drawings/drawing19.xml><?xml version="1.0" encoding="utf-8"?>
<c:userShapes xmlns:c="http://schemas.openxmlformats.org/drawingml/2006/chart">
  <cdr:relSizeAnchor xmlns:cdr="http://schemas.openxmlformats.org/drawingml/2006/chartDrawing">
    <cdr:from>
      <cdr:x>0.80062</cdr:x>
      <cdr:y>0.05193</cdr:y>
    </cdr:from>
    <cdr:to>
      <cdr:x>0.97888</cdr:x>
      <cdr:y>0.13065</cdr:y>
    </cdr:to>
    <cdr:sp macro="" textlink="">
      <cdr:nvSpPr>
        <cdr:cNvPr id="2" name="TextBox 1">
          <a:extLst xmlns:a="http://schemas.openxmlformats.org/drawingml/2006/main">
            <a:ext uri="{FF2B5EF4-FFF2-40B4-BE49-F238E27FC236}">
              <a16:creationId xmlns:a16="http://schemas.microsoft.com/office/drawing/2014/main" id="{5A4F1C4D-162F-E5D0-BAB5-A0D7075A63EB}"/>
            </a:ext>
          </a:extLst>
        </cdr:cNvPr>
        <cdr:cNvSpPr txBox="1"/>
      </cdr:nvSpPr>
      <cdr:spPr>
        <a:xfrm xmlns:a="http://schemas.openxmlformats.org/drawingml/2006/main">
          <a:off x="5920740" y="236220"/>
          <a:ext cx="1318260" cy="35814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0.77709</cdr:x>
      <cdr:y>0.02977</cdr:y>
    </cdr:from>
    <cdr:to>
      <cdr:x>1</cdr:x>
      <cdr:y>0.09398</cdr:y>
    </cdr:to>
    <cdr:sp macro="" textlink="">
      <cdr:nvSpPr>
        <cdr:cNvPr id="4" name="TextBox 1">
          <a:extLst xmlns:a="http://schemas.openxmlformats.org/drawingml/2006/main">
            <a:ext uri="{FF2B5EF4-FFF2-40B4-BE49-F238E27FC236}">
              <a16:creationId xmlns:a16="http://schemas.microsoft.com/office/drawing/2014/main" id="{8FB0B40B-626A-E164-F638-6918DC36A09C}"/>
            </a:ext>
          </a:extLst>
        </cdr:cNvPr>
        <cdr:cNvSpPr txBox="1"/>
      </cdr:nvSpPr>
      <cdr:spPr>
        <a:xfrm xmlns:a="http://schemas.openxmlformats.org/drawingml/2006/main">
          <a:off x="5850337" y="137464"/>
          <a:ext cx="1678223" cy="29650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600">
              <a:latin typeface="Calibri Light" panose="020F0302020204030204" pitchFamily="34" charset="0"/>
              <a:ea typeface="Calibri Light" panose="020F0302020204030204" pitchFamily="34" charset="0"/>
              <a:cs typeface="Calibri Light" panose="020F0302020204030204" pitchFamily="34" charset="0"/>
            </a:rPr>
            <a:t>Years since order</a:t>
          </a:r>
        </a:p>
      </cdr:txBody>
    </cdr:sp>
  </cdr:relSizeAnchor>
</c:userShapes>
</file>

<file path=xl/drawings/drawing2.xml><?xml version="1.0" encoding="utf-8"?>
<c:userShapes xmlns:c="http://schemas.openxmlformats.org/drawingml/2006/chart">
  <cdr:relSizeAnchor xmlns:cdr="http://schemas.openxmlformats.org/drawingml/2006/chartDrawing">
    <cdr:from>
      <cdr:x>0.05275</cdr:x>
      <cdr:y>0.09447</cdr:y>
    </cdr:from>
    <cdr:to>
      <cdr:x>0.19811</cdr:x>
      <cdr:y>0.17345</cdr:y>
    </cdr:to>
    <cdr:sp macro="" textlink="">
      <cdr:nvSpPr>
        <cdr:cNvPr id="3" name="TextBox 19">
          <a:extLst xmlns:a="http://schemas.openxmlformats.org/drawingml/2006/main">
            <a:ext uri="{FF2B5EF4-FFF2-40B4-BE49-F238E27FC236}">
              <a16:creationId xmlns:a16="http://schemas.microsoft.com/office/drawing/2014/main" id="{A2DED420-FAA1-BDF2-3E41-D437B3BA1BFF}"/>
            </a:ext>
          </a:extLst>
        </cdr:cNvPr>
        <cdr:cNvSpPr txBox="1"/>
      </cdr:nvSpPr>
      <cdr:spPr>
        <a:xfrm xmlns:a="http://schemas.openxmlformats.org/drawingml/2006/main">
          <a:off x="637110" y="601795"/>
          <a:ext cx="1755614" cy="503128"/>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600">
              <a:latin typeface="Calibri Light" panose="020F0302020204030204" pitchFamily="34" charset="0"/>
              <a:ea typeface="Calibri Light" panose="020F0302020204030204" pitchFamily="34" charset="0"/>
              <a:cs typeface="Calibri Light" panose="020F0302020204030204" pitchFamily="34" charset="0"/>
            </a:rPr>
            <a:t>billion Euros</a:t>
          </a:r>
        </a:p>
        <a:p xmlns:a="http://schemas.openxmlformats.org/drawingml/2006/main">
          <a:r>
            <a:rPr lang="en-US" sz="1600">
              <a:latin typeface="Calibri Light" panose="020F0302020204030204" pitchFamily="34" charset="0"/>
              <a:ea typeface="Calibri Light" panose="020F0302020204030204" pitchFamily="34" charset="0"/>
              <a:cs typeface="Calibri Light" panose="020F0302020204030204" pitchFamily="34" charset="0"/>
            </a:rPr>
            <a:t>Total:</a:t>
          </a:r>
          <a:r>
            <a:rPr lang="en-US" sz="1600" baseline="0">
              <a:latin typeface="Calibri Light" panose="020F0302020204030204" pitchFamily="34" charset="0"/>
              <a:ea typeface="Calibri Light" panose="020F0302020204030204" pitchFamily="34" charset="0"/>
              <a:cs typeface="Calibri Light" panose="020F0302020204030204" pitchFamily="34" charset="0"/>
            </a:rPr>
            <a:t> </a:t>
          </a:r>
          <a:r>
            <a:rPr lang="en-US" sz="16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€137.6 bn</a:t>
          </a:r>
          <a:endParaRPr lang="en-US" sz="1600">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0.15292</cdr:x>
      <cdr:y>0.20518</cdr:y>
    </cdr:from>
    <cdr:to>
      <cdr:x>0.33186</cdr:x>
      <cdr:y>0.2823</cdr:y>
    </cdr:to>
    <cdr:sp macro="" textlink="">
      <cdr:nvSpPr>
        <cdr:cNvPr id="4" name="TextBox 16">
          <a:extLst xmlns:a="http://schemas.openxmlformats.org/drawingml/2006/main">
            <a:ext uri="{FF2B5EF4-FFF2-40B4-BE49-F238E27FC236}">
              <a16:creationId xmlns:a16="http://schemas.microsoft.com/office/drawing/2014/main" id="{0A175FA4-0DC4-43AE-9263-493F919E58B3}"/>
            </a:ext>
          </a:extLst>
        </cdr:cNvPr>
        <cdr:cNvSpPr txBox="1"/>
      </cdr:nvSpPr>
      <cdr:spPr>
        <a:xfrm xmlns:a="http://schemas.openxmlformats.org/drawingml/2006/main">
          <a:off x="1846966" y="1307092"/>
          <a:ext cx="2161153" cy="491227"/>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latin typeface="Calibri Light" panose="020F0302020204030204" pitchFamily="34" charset="0"/>
              <a:ea typeface="Calibri Light" panose="020F0302020204030204" pitchFamily="34" charset="0"/>
              <a:cs typeface="Calibri Light" panose="020F0302020204030204" pitchFamily="34" charset="0"/>
            </a:rPr>
            <a:t>Class F126 ship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€5.6 bn</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IT operations -</a:t>
          </a:r>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€4.6 bn</a:t>
          </a:r>
          <a:endParaRPr lang="en-US" sz="14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latin typeface="Calibri Light" panose="020F0302020204030204" pitchFamily="34" charset="0"/>
            <a:ea typeface="Calibri Light" panose="020F0302020204030204" pitchFamily="34" charset="0"/>
            <a:cs typeface="Calibri Light" panose="020F0302020204030204" pitchFamily="34" charset="0"/>
          </a:endParaRPr>
        </a:p>
      </cdr:txBody>
    </cdr:sp>
  </cdr:relSizeAnchor>
  <cdr:relSizeAnchor xmlns:cdr="http://schemas.openxmlformats.org/drawingml/2006/chartDrawing">
    <cdr:from>
      <cdr:x>0.16323</cdr:x>
      <cdr:y>0.28278</cdr:y>
    </cdr:from>
    <cdr:to>
      <cdr:x>0.20776</cdr:x>
      <cdr:y>0.41635</cdr:y>
    </cdr:to>
    <cdr:cxnSp macro="">
      <cdr:nvCxnSpPr>
        <cdr:cNvPr id="5" name="Straight Arrow Connector 4">
          <a:extLst xmlns:a="http://schemas.openxmlformats.org/drawingml/2006/main">
            <a:ext uri="{FF2B5EF4-FFF2-40B4-BE49-F238E27FC236}">
              <a16:creationId xmlns:a16="http://schemas.microsoft.com/office/drawing/2014/main" id="{F6A9B282-F22E-4D5A-8252-50B50C71C91C}"/>
            </a:ext>
          </a:extLst>
        </cdr:cNvPr>
        <cdr:cNvCxnSpPr/>
      </cdr:nvCxnSpPr>
      <cdr:spPr>
        <a:xfrm xmlns:a="http://schemas.openxmlformats.org/drawingml/2006/main" flipH="1">
          <a:off x="1971456" y="1801396"/>
          <a:ext cx="537820" cy="850884"/>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0.3785</cdr:x>
      <cdr:y>0.03185</cdr:y>
    </cdr:from>
    <cdr:to>
      <cdr:x>0.56467</cdr:x>
      <cdr:y>0.25718</cdr:y>
    </cdr:to>
    <cdr:sp macro="" textlink="">
      <cdr:nvSpPr>
        <cdr:cNvPr id="6" name="TextBox 3">
          <a:extLst xmlns:a="http://schemas.openxmlformats.org/drawingml/2006/main">
            <a:ext uri="{FF2B5EF4-FFF2-40B4-BE49-F238E27FC236}">
              <a16:creationId xmlns:a16="http://schemas.microsoft.com/office/drawing/2014/main" id="{F8CAF2E1-8BF1-7DA9-D6F5-BC2B2354071F}"/>
            </a:ext>
          </a:extLst>
        </cdr:cNvPr>
        <cdr:cNvSpPr txBox="1"/>
      </cdr:nvSpPr>
      <cdr:spPr>
        <a:xfrm xmlns:a="http://schemas.openxmlformats.org/drawingml/2006/main">
          <a:off x="4571432" y="202900"/>
          <a:ext cx="2248468" cy="1435400"/>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Future Combat Air System project - €4.4 bn</a:t>
          </a:r>
          <a:endParaRPr lang="en-US" sz="14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Class 424 ship - €2.1 bn</a:t>
          </a:r>
        </a:p>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U212 submarine -</a:t>
          </a:r>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€2 bn</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P-8A Poseidon - €1.1 bn</a:t>
          </a:r>
          <a:endParaRPr lang="en-US" sz="14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Puma retrofit</a:t>
          </a:r>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€1 bn</a:t>
          </a:r>
          <a:endParaRPr lang="en-US" sz="1400">
            <a:latin typeface="Calibri Light" panose="020F0302020204030204" pitchFamily="34" charset="0"/>
            <a:ea typeface="Calibri Light" panose="020F0302020204030204" pitchFamily="34" charset="0"/>
            <a:cs typeface="Calibri Light" panose="020F0302020204030204" pitchFamily="34" charset="0"/>
          </a:endParaRPr>
        </a:p>
      </cdr:txBody>
    </cdr:sp>
  </cdr:relSizeAnchor>
  <cdr:relSizeAnchor xmlns:cdr="http://schemas.openxmlformats.org/drawingml/2006/chartDrawing">
    <cdr:from>
      <cdr:x>0.36991</cdr:x>
      <cdr:y>0.25235</cdr:y>
    </cdr:from>
    <cdr:to>
      <cdr:x>0.4096</cdr:x>
      <cdr:y>0.37476</cdr:y>
    </cdr:to>
    <cdr:cxnSp macro="">
      <cdr:nvCxnSpPr>
        <cdr:cNvPr id="11" name="Straight Arrow Connector 10">
          <a:extLst xmlns:a="http://schemas.openxmlformats.org/drawingml/2006/main">
            <a:ext uri="{FF2B5EF4-FFF2-40B4-BE49-F238E27FC236}">
              <a16:creationId xmlns:a16="http://schemas.microsoft.com/office/drawing/2014/main" id="{D28453E8-9CE1-4B63-7637-5833EDF664EA}"/>
            </a:ext>
          </a:extLst>
        </cdr:cNvPr>
        <cdr:cNvCxnSpPr/>
      </cdr:nvCxnSpPr>
      <cdr:spPr>
        <a:xfrm xmlns:a="http://schemas.openxmlformats.org/drawingml/2006/main" flipH="1">
          <a:off x="4467620" y="1607524"/>
          <a:ext cx="479364" cy="779791"/>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0.43218</cdr:x>
      <cdr:y>0.44173</cdr:y>
    </cdr:from>
    <cdr:to>
      <cdr:x>0.56972</cdr:x>
      <cdr:y>0.51675</cdr:y>
    </cdr:to>
    <cdr:sp macro="" textlink="">
      <cdr:nvSpPr>
        <cdr:cNvPr id="12" name="TextBox 14">
          <a:extLst xmlns:a="http://schemas.openxmlformats.org/drawingml/2006/main">
            <a:ext uri="{FF2B5EF4-FFF2-40B4-BE49-F238E27FC236}">
              <a16:creationId xmlns:a16="http://schemas.microsoft.com/office/drawing/2014/main" id="{888E77C8-9ADC-4DF3-9329-0A4B1D23BF68}"/>
            </a:ext>
          </a:extLst>
        </cdr:cNvPr>
        <cdr:cNvSpPr txBox="1"/>
      </cdr:nvSpPr>
      <cdr:spPr>
        <a:xfrm xmlns:a="http://schemas.openxmlformats.org/drawingml/2006/main">
          <a:off x="5219700" y="2813956"/>
          <a:ext cx="1661160" cy="477884"/>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latin typeface="Calibri Light" panose="020F0302020204030204" pitchFamily="34" charset="0"/>
              <a:ea typeface="Calibri Light" panose="020F0302020204030204" pitchFamily="34" charset="0"/>
              <a:cs typeface="Calibri Light" panose="020F0302020204030204" pitchFamily="34" charset="0"/>
            </a:rPr>
            <a:t>Clothing &amp; personal equipment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€6.9 bn</a:t>
          </a:r>
          <a:endParaRPr lang="en-US" sz="1400">
            <a:latin typeface="Calibri Light" panose="020F0302020204030204" pitchFamily="34" charset="0"/>
            <a:ea typeface="Calibri Light" panose="020F0302020204030204" pitchFamily="34" charset="0"/>
            <a:cs typeface="Calibri Light" panose="020F0302020204030204" pitchFamily="34" charset="0"/>
          </a:endParaRPr>
        </a:p>
      </cdr:txBody>
    </cdr:sp>
  </cdr:relSizeAnchor>
  <cdr:relSizeAnchor xmlns:cdr="http://schemas.openxmlformats.org/drawingml/2006/chartDrawing">
    <cdr:from>
      <cdr:x>0.51671</cdr:x>
      <cdr:y>0.52891</cdr:y>
    </cdr:from>
    <cdr:to>
      <cdr:x>0.56691</cdr:x>
      <cdr:y>0.66153</cdr:y>
    </cdr:to>
    <cdr:cxnSp macro="">
      <cdr:nvCxnSpPr>
        <cdr:cNvPr id="13" name="Straight Arrow Connector 12">
          <a:extLst xmlns:a="http://schemas.openxmlformats.org/drawingml/2006/main">
            <a:ext uri="{FF2B5EF4-FFF2-40B4-BE49-F238E27FC236}">
              <a16:creationId xmlns:a16="http://schemas.microsoft.com/office/drawing/2014/main" id="{1D620CBA-5BEF-4CC1-A026-7741866B087A}"/>
            </a:ext>
          </a:extLst>
        </cdr:cNvPr>
        <cdr:cNvCxnSpPr/>
      </cdr:nvCxnSpPr>
      <cdr:spPr>
        <a:xfrm xmlns:a="http://schemas.openxmlformats.org/drawingml/2006/main">
          <a:off x="6240680" y="3369307"/>
          <a:ext cx="606301" cy="844832"/>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0.50599</cdr:x>
      <cdr:y>0.36129</cdr:y>
    </cdr:from>
    <cdr:to>
      <cdr:x>0.66667</cdr:x>
      <cdr:y>0.40337</cdr:y>
    </cdr:to>
    <cdr:sp macro="" textlink="">
      <cdr:nvSpPr>
        <cdr:cNvPr id="15" name="TextBox 12">
          <a:extLst xmlns:a="http://schemas.openxmlformats.org/drawingml/2006/main">
            <a:ext uri="{FF2B5EF4-FFF2-40B4-BE49-F238E27FC236}">
              <a16:creationId xmlns:a16="http://schemas.microsoft.com/office/drawing/2014/main" id="{D8B1EB85-7BDE-42DC-917A-A95012AA7169}"/>
            </a:ext>
          </a:extLst>
        </cdr:cNvPr>
        <cdr:cNvSpPr txBox="1"/>
      </cdr:nvSpPr>
      <cdr:spPr>
        <a:xfrm xmlns:a="http://schemas.openxmlformats.org/drawingml/2006/main">
          <a:off x="6111240" y="2301516"/>
          <a:ext cx="1940622" cy="268064"/>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latin typeface="Calibri Light" panose="020F0302020204030204" pitchFamily="34" charset="0"/>
              <a:ea typeface="Calibri Light" panose="020F0302020204030204" pitchFamily="34" charset="0"/>
              <a:cs typeface="Calibri Light" panose="020F0302020204030204" pitchFamily="34" charset="0"/>
            </a:rPr>
            <a:t>F-35A fighter</a:t>
          </a:r>
          <a:r>
            <a:rPr lang="en-US" sz="1400" baseline="0">
              <a:latin typeface="Calibri Light" panose="020F0302020204030204" pitchFamily="34" charset="0"/>
              <a:ea typeface="Calibri Light" panose="020F0302020204030204" pitchFamily="34" charset="0"/>
              <a:cs typeface="Calibri Light" panose="020F0302020204030204" pitchFamily="34" charset="0"/>
            </a:rPr>
            <a:t>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€8.3 bn</a:t>
          </a:r>
          <a:endParaRPr lang="en-US" sz="1400">
            <a:latin typeface="Calibri Light" panose="020F0302020204030204" pitchFamily="34" charset="0"/>
            <a:ea typeface="Calibri Light" panose="020F0302020204030204" pitchFamily="34" charset="0"/>
            <a:cs typeface="Calibri Light" panose="020F0302020204030204" pitchFamily="34" charset="0"/>
          </a:endParaRPr>
        </a:p>
      </cdr:txBody>
    </cdr:sp>
  </cdr:relSizeAnchor>
  <cdr:relSizeAnchor xmlns:cdr="http://schemas.openxmlformats.org/drawingml/2006/chartDrawing">
    <cdr:from>
      <cdr:x>0.60808</cdr:x>
      <cdr:y>0.41435</cdr:y>
    </cdr:from>
    <cdr:to>
      <cdr:x>0.65155</cdr:x>
      <cdr:y>0.51818</cdr:y>
    </cdr:to>
    <cdr:cxnSp macro="">
      <cdr:nvCxnSpPr>
        <cdr:cNvPr id="16" name="Straight Arrow Connector 15">
          <a:extLst xmlns:a="http://schemas.openxmlformats.org/drawingml/2006/main">
            <a:ext uri="{FF2B5EF4-FFF2-40B4-BE49-F238E27FC236}">
              <a16:creationId xmlns:a16="http://schemas.microsoft.com/office/drawing/2014/main" id="{A682EA32-FFBF-4CAB-A05C-8D3E80FB87CA}"/>
            </a:ext>
          </a:extLst>
        </cdr:cNvPr>
        <cdr:cNvCxnSpPr/>
      </cdr:nvCxnSpPr>
      <cdr:spPr>
        <a:xfrm xmlns:a="http://schemas.openxmlformats.org/drawingml/2006/main">
          <a:off x="7344231" y="2639552"/>
          <a:ext cx="525017" cy="661430"/>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0.66057</cdr:x>
      <cdr:y>0.33419</cdr:y>
    </cdr:from>
    <cdr:to>
      <cdr:x>0.81865</cdr:x>
      <cdr:y>0.38308</cdr:y>
    </cdr:to>
    <cdr:sp macro="" textlink="">
      <cdr:nvSpPr>
        <cdr:cNvPr id="18" name="TextBox 10">
          <a:extLst xmlns:a="http://schemas.openxmlformats.org/drawingml/2006/main">
            <a:ext uri="{FF2B5EF4-FFF2-40B4-BE49-F238E27FC236}">
              <a16:creationId xmlns:a16="http://schemas.microsoft.com/office/drawing/2014/main" id="{BF09E2E1-BBBB-4830-97C0-CBDB04F0B10E}"/>
            </a:ext>
          </a:extLst>
        </cdr:cNvPr>
        <cdr:cNvSpPr txBox="1"/>
      </cdr:nvSpPr>
      <cdr:spPr>
        <a:xfrm xmlns:a="http://schemas.openxmlformats.org/drawingml/2006/main">
          <a:off x="7978140" y="2128875"/>
          <a:ext cx="1909237" cy="311496"/>
        </a:xfrm>
        <a:prstGeom xmlns:a="http://schemas.openxmlformats.org/drawingml/2006/main" prst="rect">
          <a:avLst/>
        </a:prstGeom>
        <a:solidFill xmlns:a="http://schemas.openxmlformats.org/drawingml/2006/main">
          <a:sysClr val="window" lastClr="FFFFFF"/>
        </a:solidFill>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en-US" sz="1400">
              <a:latin typeface="Calibri Light" panose="020F0302020204030204" pitchFamily="34" charset="0"/>
              <a:ea typeface="Calibri Light" panose="020F0302020204030204" pitchFamily="34" charset="0"/>
              <a:cs typeface="Calibri Light" panose="020F0302020204030204" pitchFamily="34" charset="0"/>
            </a:rPr>
            <a:t>CH-47F Chinook - </a:t>
          </a:r>
          <a:r>
            <a:rPr lang="en-US" sz="1400">
              <a:solidFill>
                <a:schemeClr val="tx1"/>
              </a:solidFill>
              <a:effectLst/>
              <a:latin typeface="Calibri Light" panose="020F0302020204030204" pitchFamily="34" charset="0"/>
              <a:ea typeface="Calibri Light" panose="020F0302020204030204" pitchFamily="34" charset="0"/>
              <a:cs typeface="Calibri Light" panose="020F0302020204030204" pitchFamily="34" charset="0"/>
            </a:rPr>
            <a:t>€7 bn</a:t>
          </a:r>
        </a:p>
      </cdr:txBody>
    </cdr:sp>
  </cdr:relSizeAnchor>
  <cdr:relSizeAnchor xmlns:cdr="http://schemas.openxmlformats.org/drawingml/2006/chartDrawing">
    <cdr:from>
      <cdr:x>0.82585</cdr:x>
      <cdr:y>0.13469</cdr:y>
    </cdr:from>
    <cdr:to>
      <cdr:x>1</cdr:x>
      <cdr:y>0.19584</cdr:y>
    </cdr:to>
    <cdr:sp macro="" textlink="">
      <cdr:nvSpPr>
        <cdr:cNvPr id="19" name="TextBox 9">
          <a:extLst xmlns:a="http://schemas.openxmlformats.org/drawingml/2006/main">
            <a:ext uri="{FF2B5EF4-FFF2-40B4-BE49-F238E27FC236}">
              <a16:creationId xmlns:a16="http://schemas.microsoft.com/office/drawing/2014/main" id="{D9DAF369-FD2E-45C9-97AB-917F35607EAB}"/>
            </a:ext>
          </a:extLst>
        </cdr:cNvPr>
        <cdr:cNvSpPr txBox="1"/>
      </cdr:nvSpPr>
      <cdr:spPr>
        <a:xfrm xmlns:a="http://schemas.openxmlformats.org/drawingml/2006/main">
          <a:off x="9974381" y="858023"/>
          <a:ext cx="2103319" cy="389545"/>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400">
              <a:latin typeface="Calibri Light" panose="020F0302020204030204" pitchFamily="34" charset="0"/>
              <a:ea typeface="Calibri Light" panose="020F0302020204030204" pitchFamily="34" charset="0"/>
              <a:cs typeface="Calibri Light" panose="020F0302020204030204" pitchFamily="34" charset="0"/>
            </a:rPr>
            <a:t>Military vehicle maintentance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a:t>
          </a:r>
          <a:r>
            <a:rPr lang="en-US" sz="1400">
              <a:latin typeface="Calibri Light" panose="020F0302020204030204" pitchFamily="34" charset="0"/>
              <a:ea typeface="Calibri Light" panose="020F0302020204030204" pitchFamily="34" charset="0"/>
              <a:cs typeface="Calibri Light" panose="020F0302020204030204" pitchFamily="34" charset="0"/>
            </a:rPr>
            <a:t>13.4 bn</a:t>
          </a:r>
        </a:p>
        <a:p xmlns:a="http://schemas.openxmlformats.org/drawingml/2006/main">
          <a:endParaRPr lang="en-US" sz="1100"/>
        </a:p>
      </cdr:txBody>
    </cdr:sp>
  </cdr:relSizeAnchor>
  <cdr:relSizeAnchor xmlns:cdr="http://schemas.openxmlformats.org/drawingml/2006/chartDrawing">
    <cdr:from>
      <cdr:x>0.857</cdr:x>
      <cdr:y>0.21248</cdr:y>
    </cdr:from>
    <cdr:to>
      <cdr:x>0.89921</cdr:x>
      <cdr:y>0.32541</cdr:y>
    </cdr:to>
    <cdr:cxnSp macro="">
      <cdr:nvCxnSpPr>
        <cdr:cNvPr id="20" name="Straight Arrow Connector 19">
          <a:extLst xmlns:a="http://schemas.openxmlformats.org/drawingml/2006/main">
            <a:ext uri="{FF2B5EF4-FFF2-40B4-BE49-F238E27FC236}">
              <a16:creationId xmlns:a16="http://schemas.microsoft.com/office/drawing/2014/main" id="{3479F456-9CA4-4669-8D3B-6D43AAB04EFD}"/>
            </a:ext>
          </a:extLst>
        </cdr:cNvPr>
        <cdr:cNvCxnSpPr/>
      </cdr:nvCxnSpPr>
      <cdr:spPr>
        <a:xfrm xmlns:a="http://schemas.openxmlformats.org/drawingml/2006/main" flipH="1">
          <a:off x="10350536" y="1353581"/>
          <a:ext cx="509800" cy="719401"/>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0.72528</cdr:x>
      <cdr:y>0.3821</cdr:y>
    </cdr:from>
    <cdr:to>
      <cdr:x>0.77191</cdr:x>
      <cdr:y>0.51325</cdr:y>
    </cdr:to>
    <cdr:cxnSp macro="">
      <cdr:nvCxnSpPr>
        <cdr:cNvPr id="10" name="Straight Arrow Connector 9">
          <a:extLst xmlns:a="http://schemas.openxmlformats.org/drawingml/2006/main">
            <a:ext uri="{FF2B5EF4-FFF2-40B4-BE49-F238E27FC236}">
              <a16:creationId xmlns:a16="http://schemas.microsoft.com/office/drawing/2014/main" id="{85F54556-EBE9-FA9E-E51F-4184F6101A37}"/>
            </a:ext>
          </a:extLst>
        </cdr:cNvPr>
        <cdr:cNvCxnSpPr/>
      </cdr:nvCxnSpPr>
      <cdr:spPr>
        <a:xfrm xmlns:a="http://schemas.openxmlformats.org/drawingml/2006/main">
          <a:off x="8759748" y="2434073"/>
          <a:ext cx="563183" cy="835468"/>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0.22432</cdr:x>
      <cdr:y>0.29708</cdr:y>
    </cdr:from>
    <cdr:to>
      <cdr:x>0.33817</cdr:x>
      <cdr:y>0.43541</cdr:y>
    </cdr:to>
    <cdr:sp macro="" textlink="">
      <cdr:nvSpPr>
        <cdr:cNvPr id="7" name="TextBox 16">
          <a:extLst xmlns:a="http://schemas.openxmlformats.org/drawingml/2006/main">
            <a:ext uri="{FF2B5EF4-FFF2-40B4-BE49-F238E27FC236}">
              <a16:creationId xmlns:a16="http://schemas.microsoft.com/office/drawing/2014/main" id="{CC18A10F-48D2-2D3B-BFF4-E1D11AAE8469}"/>
            </a:ext>
          </a:extLst>
        </cdr:cNvPr>
        <cdr:cNvSpPr txBox="1"/>
      </cdr:nvSpPr>
      <cdr:spPr>
        <a:xfrm xmlns:a="http://schemas.openxmlformats.org/drawingml/2006/main">
          <a:off x="2709237" y="1892525"/>
          <a:ext cx="1375083" cy="881155"/>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latin typeface="Calibri Light" panose="020F0302020204030204" pitchFamily="34" charset="0"/>
              <a:ea typeface="Calibri Light" panose="020F0302020204030204" pitchFamily="34" charset="0"/>
              <a:cs typeface="Calibri Light" panose="020F0302020204030204" pitchFamily="34" charset="0"/>
            </a:rPr>
            <a:t>Eurofighter </a:t>
          </a:r>
        </a:p>
        <a:p xmlns:a="http://schemas.openxmlformats.org/drawingml/2006/main">
          <a:r>
            <a:rPr lang="en-US" sz="1400">
              <a:latin typeface="Calibri Light" panose="020F0302020204030204" pitchFamily="34" charset="0"/>
              <a:ea typeface="Calibri Light" panose="020F0302020204030204" pitchFamily="34" charset="0"/>
              <a:cs typeface="Calibri Light" panose="020F0302020204030204" pitchFamily="34" charset="0"/>
            </a:rPr>
            <a:t>-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€5.5 bn</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NH90 helicopter </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a:t>
          </a:r>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€2.7 bn</a:t>
          </a:r>
          <a:endParaRPr lang="en-US" sz="14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p>
      </cdr:txBody>
    </cdr:sp>
  </cdr:relSizeAnchor>
  <cdr:relSizeAnchor xmlns:cdr="http://schemas.openxmlformats.org/drawingml/2006/chartDrawing">
    <cdr:from>
      <cdr:x>0.24871</cdr:x>
      <cdr:y>0.43411</cdr:y>
    </cdr:from>
    <cdr:to>
      <cdr:x>0.28777</cdr:x>
      <cdr:y>0.56015</cdr:y>
    </cdr:to>
    <cdr:cxnSp macro="">
      <cdr:nvCxnSpPr>
        <cdr:cNvPr id="8" name="Straight Arrow Connector 7">
          <a:extLst xmlns:a="http://schemas.openxmlformats.org/drawingml/2006/main">
            <a:ext uri="{FF2B5EF4-FFF2-40B4-BE49-F238E27FC236}">
              <a16:creationId xmlns:a16="http://schemas.microsoft.com/office/drawing/2014/main" id="{A82AC6DE-967E-41E8-9606-D1F52977AB79}"/>
            </a:ext>
          </a:extLst>
        </cdr:cNvPr>
        <cdr:cNvCxnSpPr/>
      </cdr:nvCxnSpPr>
      <cdr:spPr>
        <a:xfrm xmlns:a="http://schemas.openxmlformats.org/drawingml/2006/main" flipH="1">
          <a:off x="3003858" y="2765421"/>
          <a:ext cx="471755" cy="802916"/>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0.88139</cdr:x>
      <cdr:y>0.27661</cdr:y>
    </cdr:from>
    <cdr:to>
      <cdr:x>0.98218</cdr:x>
      <cdr:y>0.40873</cdr:y>
    </cdr:to>
    <cdr:sp macro="" textlink="">
      <cdr:nvSpPr>
        <cdr:cNvPr id="21" name="TextBox 16">
          <a:extLst xmlns:a="http://schemas.openxmlformats.org/drawingml/2006/main">
            <a:ext uri="{FF2B5EF4-FFF2-40B4-BE49-F238E27FC236}">
              <a16:creationId xmlns:a16="http://schemas.microsoft.com/office/drawing/2014/main" id="{7EDBD053-766B-DE02-EE82-53294869356C}"/>
            </a:ext>
          </a:extLst>
        </cdr:cNvPr>
        <cdr:cNvSpPr txBox="1"/>
      </cdr:nvSpPr>
      <cdr:spPr>
        <a:xfrm xmlns:a="http://schemas.openxmlformats.org/drawingml/2006/main">
          <a:off x="10645140" y="1762119"/>
          <a:ext cx="1217295" cy="841647"/>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latin typeface="Calibri Light" panose="020F0302020204030204" pitchFamily="34" charset="0"/>
              <a:ea typeface="Calibri Light" panose="020F0302020204030204" pitchFamily="34" charset="0"/>
              <a:cs typeface="Calibri Light" panose="020F0302020204030204" pitchFamily="34" charset="0"/>
            </a:rPr>
            <a:t>Class F126 ship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€3.2 bn</a:t>
          </a:r>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a:t>
          </a:r>
        </a:p>
        <a:p xmlns:a="http://schemas.openxmlformats.org/drawingml/2006/main">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New satellite </a:t>
          </a:r>
        </a:p>
        <a:p xmlns:a="http://schemas.openxmlformats.org/drawingml/2006/main">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€2.2 bn</a:t>
          </a:r>
          <a:endParaRPr lang="en-US" sz="14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p>
      </cdr:txBody>
    </cdr:sp>
  </cdr:relSizeAnchor>
  <cdr:relSizeAnchor xmlns:cdr="http://schemas.openxmlformats.org/drawingml/2006/chartDrawing">
    <cdr:from>
      <cdr:x>0.92124</cdr:x>
      <cdr:y>0.42556</cdr:y>
    </cdr:from>
    <cdr:to>
      <cdr:x>0.95779</cdr:x>
      <cdr:y>0.51414</cdr:y>
    </cdr:to>
    <cdr:cxnSp macro="">
      <cdr:nvCxnSpPr>
        <cdr:cNvPr id="22" name="Straight Arrow Connector 21">
          <a:extLst xmlns:a="http://schemas.openxmlformats.org/drawingml/2006/main">
            <a:ext uri="{FF2B5EF4-FFF2-40B4-BE49-F238E27FC236}">
              <a16:creationId xmlns:a16="http://schemas.microsoft.com/office/drawing/2014/main" id="{DFCA1C9D-D4C3-B3A4-6E79-CA1B24104416}"/>
            </a:ext>
          </a:extLst>
        </cdr:cNvPr>
        <cdr:cNvCxnSpPr/>
      </cdr:nvCxnSpPr>
      <cdr:spPr>
        <a:xfrm xmlns:a="http://schemas.openxmlformats.org/drawingml/2006/main">
          <a:off x="11126472" y="2710940"/>
          <a:ext cx="441440" cy="564283"/>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userShapes>
</file>

<file path=xl/drawings/drawing20.xml><?xml version="1.0" encoding="utf-8"?>
<xdr:wsDr xmlns:xdr="http://schemas.openxmlformats.org/drawingml/2006/spreadsheetDrawing" xmlns:a="http://schemas.openxmlformats.org/drawingml/2006/main">
  <xdr:twoCellAnchor>
    <xdr:from>
      <xdr:col>11</xdr:col>
      <xdr:colOff>7620</xdr:colOff>
      <xdr:row>5</xdr:row>
      <xdr:rowOff>7620</xdr:rowOff>
    </xdr:from>
    <xdr:to>
      <xdr:col>21</xdr:col>
      <xdr:colOff>662940</xdr:colOff>
      <xdr:row>27</xdr:row>
      <xdr:rowOff>129540</xdr:rowOff>
    </xdr:to>
    <xdr:graphicFrame macro="">
      <xdr:nvGraphicFramePr>
        <xdr:cNvPr id="3" name="Chart 2">
          <a:extLst>
            <a:ext uri="{FF2B5EF4-FFF2-40B4-BE49-F238E27FC236}">
              <a16:creationId xmlns:a16="http://schemas.microsoft.com/office/drawing/2014/main" id="{EE542EEF-12F0-4711-9C7A-63BB847BE7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c:userShapes xmlns:c="http://schemas.openxmlformats.org/drawingml/2006/chart">
  <cdr:relSizeAnchor xmlns:cdr="http://schemas.openxmlformats.org/drawingml/2006/chartDrawing">
    <cdr:from>
      <cdr:x>0.80062</cdr:x>
      <cdr:y>0.05193</cdr:y>
    </cdr:from>
    <cdr:to>
      <cdr:x>0.97888</cdr:x>
      <cdr:y>0.13065</cdr:y>
    </cdr:to>
    <cdr:sp macro="" textlink="">
      <cdr:nvSpPr>
        <cdr:cNvPr id="2" name="TextBox 1">
          <a:extLst xmlns:a="http://schemas.openxmlformats.org/drawingml/2006/main">
            <a:ext uri="{FF2B5EF4-FFF2-40B4-BE49-F238E27FC236}">
              <a16:creationId xmlns:a16="http://schemas.microsoft.com/office/drawing/2014/main" id="{5A4F1C4D-162F-E5D0-BAB5-A0D7075A63EB}"/>
            </a:ext>
          </a:extLst>
        </cdr:cNvPr>
        <cdr:cNvSpPr txBox="1"/>
      </cdr:nvSpPr>
      <cdr:spPr>
        <a:xfrm xmlns:a="http://schemas.openxmlformats.org/drawingml/2006/main">
          <a:off x="5920740" y="236220"/>
          <a:ext cx="1318260" cy="35814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0.07598</cdr:x>
      <cdr:y>0.04132</cdr:y>
    </cdr:from>
    <cdr:to>
      <cdr:x>0.34867</cdr:x>
      <cdr:y>0.10553</cdr:y>
    </cdr:to>
    <cdr:sp macro="" textlink="">
      <cdr:nvSpPr>
        <cdr:cNvPr id="4" name="TextBox 1">
          <a:extLst xmlns:a="http://schemas.openxmlformats.org/drawingml/2006/main">
            <a:ext uri="{FF2B5EF4-FFF2-40B4-BE49-F238E27FC236}">
              <a16:creationId xmlns:a16="http://schemas.microsoft.com/office/drawing/2014/main" id="{8FB0B40B-626A-E164-F638-6918DC36A09C}"/>
            </a:ext>
          </a:extLst>
        </cdr:cNvPr>
        <cdr:cNvSpPr txBox="1"/>
      </cdr:nvSpPr>
      <cdr:spPr>
        <a:xfrm xmlns:a="http://schemas.openxmlformats.org/drawingml/2006/main">
          <a:off x="566210" y="187971"/>
          <a:ext cx="2032210" cy="29210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600">
              <a:latin typeface="Calibri Light" panose="020F0302020204030204" pitchFamily="34" charset="0"/>
              <a:ea typeface="Calibri Light" panose="020F0302020204030204" pitchFamily="34" charset="0"/>
              <a:cs typeface="Calibri Light" panose="020F0302020204030204" pitchFamily="34" charset="0"/>
            </a:rPr>
            <a:t>Proportion of orders</a:t>
          </a:r>
        </a:p>
      </cdr:txBody>
    </cdr:sp>
  </cdr:relSizeAnchor>
  <cdr:relSizeAnchor xmlns:cdr="http://schemas.openxmlformats.org/drawingml/2006/chartDrawing">
    <cdr:from>
      <cdr:x>0.35654</cdr:x>
      <cdr:y>0.12004</cdr:y>
    </cdr:from>
    <cdr:to>
      <cdr:x>0.59816</cdr:x>
      <cdr:y>0.17252</cdr:y>
    </cdr:to>
    <cdr:sp macro="" textlink="">
      <cdr:nvSpPr>
        <cdr:cNvPr id="3" name="TextBox 6">
          <a:extLst xmlns:a="http://schemas.openxmlformats.org/drawingml/2006/main">
            <a:ext uri="{FF2B5EF4-FFF2-40B4-BE49-F238E27FC236}">
              <a16:creationId xmlns:a16="http://schemas.microsoft.com/office/drawing/2014/main" id="{E63E0164-82E4-0C79-1807-57AF1F0343A9}"/>
            </a:ext>
          </a:extLst>
        </cdr:cNvPr>
        <cdr:cNvSpPr txBox="1"/>
      </cdr:nvSpPr>
      <cdr:spPr>
        <a:xfrm xmlns:a="http://schemas.openxmlformats.org/drawingml/2006/main">
          <a:off x="2657043" y="546101"/>
          <a:ext cx="1800639" cy="238739"/>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95 </a:t>
          </a:r>
          <a:r>
            <a:rPr lang="en-US" sz="1400" b="1"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rPr>
            <a:t>out of 221 items</a:t>
          </a:r>
          <a:r>
            <a:rPr lang="en-US" sz="1400" b="1"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a:t>
          </a:r>
          <a:endParaRPr lang="en-US" sz="1400" b="1">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endParaRPr>
        </a:p>
      </cdr:txBody>
    </cdr:sp>
  </cdr:relSizeAnchor>
</c:userShapes>
</file>

<file path=xl/drawings/drawing22.xml><?xml version="1.0" encoding="utf-8"?>
<xdr:wsDr xmlns:xdr="http://schemas.openxmlformats.org/drawingml/2006/spreadsheetDrawing" xmlns:a="http://schemas.openxmlformats.org/drawingml/2006/main">
  <xdr:twoCellAnchor>
    <xdr:from>
      <xdr:col>6</xdr:col>
      <xdr:colOff>666750</xdr:colOff>
      <xdr:row>5</xdr:row>
      <xdr:rowOff>34290</xdr:rowOff>
    </xdr:from>
    <xdr:to>
      <xdr:col>17</xdr:col>
      <xdr:colOff>655320</xdr:colOff>
      <xdr:row>27</xdr:row>
      <xdr:rowOff>160020</xdr:rowOff>
    </xdr:to>
    <xdr:graphicFrame macro="">
      <xdr:nvGraphicFramePr>
        <xdr:cNvPr id="4" name="Chart 3">
          <a:extLst>
            <a:ext uri="{FF2B5EF4-FFF2-40B4-BE49-F238E27FC236}">
              <a16:creationId xmlns:a16="http://schemas.microsoft.com/office/drawing/2014/main" id="{B921BC5A-31BA-1EE2-B86F-50C6172120E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c:userShapes xmlns:c="http://schemas.openxmlformats.org/drawingml/2006/chart">
  <cdr:relSizeAnchor xmlns:cdr="http://schemas.openxmlformats.org/drawingml/2006/chartDrawing">
    <cdr:from>
      <cdr:x>0.12054</cdr:x>
      <cdr:y>0.05468</cdr:y>
    </cdr:from>
    <cdr:to>
      <cdr:x>0.32437</cdr:x>
      <cdr:y>0.12636</cdr:y>
    </cdr:to>
    <cdr:sp macro="" textlink="">
      <cdr:nvSpPr>
        <cdr:cNvPr id="2" name="TextBox 4">
          <a:extLst xmlns:a="http://schemas.openxmlformats.org/drawingml/2006/main">
            <a:ext uri="{FF2B5EF4-FFF2-40B4-BE49-F238E27FC236}">
              <a16:creationId xmlns:a16="http://schemas.microsoft.com/office/drawing/2014/main" id="{638AFAE0-5916-951D-7C89-38C000E01CC7}"/>
            </a:ext>
          </a:extLst>
        </cdr:cNvPr>
        <cdr:cNvSpPr txBox="1"/>
      </cdr:nvSpPr>
      <cdr:spPr>
        <a:xfrm xmlns:a="http://schemas.openxmlformats.org/drawingml/2006/main">
          <a:off x="887728" y="248939"/>
          <a:ext cx="1501142" cy="326371"/>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600" b="1">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rPr>
            <a:t>Cost per</a:t>
          </a:r>
          <a:r>
            <a:rPr lang="en-US" sz="1600" b="1"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rPr>
            <a:t> unit (</a:t>
          </a:r>
          <a:r>
            <a:rPr lang="en-US" sz="1600" b="1">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a:t>
          </a:r>
          <a:r>
            <a:rPr lang="en-US" sz="1600" b="1">
              <a:solidFill>
                <a:sysClr val="windowText" lastClr="000000"/>
              </a:solidFill>
              <a:effectLst/>
              <a:latin typeface="Calibri Light" panose="020F0302020204030204" pitchFamily="34" charset="0"/>
              <a:ea typeface="Calibri Light" panose="020F0302020204030204" pitchFamily="34" charset="0"/>
              <a:cs typeface="Calibri Light" panose="020F0302020204030204" pitchFamily="34" charset="0"/>
            </a:rPr>
            <a:t>)</a:t>
          </a:r>
        </a:p>
        <a:p xmlns:a="http://schemas.openxmlformats.org/drawingml/2006/main">
          <a:endParaRPr lang="en-US" sz="1100"/>
        </a:p>
      </cdr:txBody>
    </cdr:sp>
  </cdr:relSizeAnchor>
</c:userShapes>
</file>

<file path=xl/drawings/drawing24.xml><?xml version="1.0" encoding="utf-8"?>
<xdr:wsDr xmlns:xdr="http://schemas.openxmlformats.org/drawingml/2006/spreadsheetDrawing" xmlns:a="http://schemas.openxmlformats.org/drawingml/2006/main">
  <xdr:twoCellAnchor>
    <xdr:from>
      <xdr:col>6</xdr:col>
      <xdr:colOff>0</xdr:colOff>
      <xdr:row>5</xdr:row>
      <xdr:rowOff>0</xdr:rowOff>
    </xdr:from>
    <xdr:to>
      <xdr:col>23</xdr:col>
      <xdr:colOff>662940</xdr:colOff>
      <xdr:row>36</xdr:row>
      <xdr:rowOff>190500</xdr:rowOff>
    </xdr:to>
    <xdr:graphicFrame macro="">
      <xdr:nvGraphicFramePr>
        <xdr:cNvPr id="2" name="Chart 1">
          <a:extLst>
            <a:ext uri="{FF2B5EF4-FFF2-40B4-BE49-F238E27FC236}">
              <a16:creationId xmlns:a16="http://schemas.microsoft.com/office/drawing/2014/main" id="{37E9003A-90EF-4B8F-92CB-F5C6B17332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c:userShapes xmlns:c="http://schemas.openxmlformats.org/drawingml/2006/chart">
  <cdr:relSizeAnchor xmlns:cdr="http://schemas.openxmlformats.org/drawingml/2006/chartDrawing">
    <cdr:from>
      <cdr:x>0.06288</cdr:x>
      <cdr:y>0.09397</cdr:y>
    </cdr:from>
    <cdr:to>
      <cdr:x>0.19773</cdr:x>
      <cdr:y>0.18333</cdr:y>
    </cdr:to>
    <cdr:sp macro="" textlink="">
      <cdr:nvSpPr>
        <cdr:cNvPr id="3" name="TextBox 19">
          <a:extLst xmlns:a="http://schemas.openxmlformats.org/drawingml/2006/main">
            <a:ext uri="{FF2B5EF4-FFF2-40B4-BE49-F238E27FC236}">
              <a16:creationId xmlns:a16="http://schemas.microsoft.com/office/drawing/2014/main" id="{A2DED420-FAA1-BDF2-3E41-D437B3BA1BFF}"/>
            </a:ext>
          </a:extLst>
        </cdr:cNvPr>
        <cdr:cNvSpPr txBox="1"/>
      </cdr:nvSpPr>
      <cdr:spPr>
        <a:xfrm xmlns:a="http://schemas.openxmlformats.org/drawingml/2006/main">
          <a:off x="758452" y="601465"/>
          <a:ext cx="1626608" cy="572015"/>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600">
              <a:latin typeface="Calibri Light" panose="020F0302020204030204" pitchFamily="34" charset="0"/>
              <a:ea typeface="Calibri Light" panose="020F0302020204030204" pitchFamily="34" charset="0"/>
              <a:cs typeface="Calibri Light" panose="020F0302020204030204" pitchFamily="34" charset="0"/>
            </a:rPr>
            <a:t>billion Euros</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6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Total: €138 bn</a:t>
          </a:r>
          <a:endParaRPr lang="en-US" sz="16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latin typeface="Times New Roman" panose="02020603050405020304" pitchFamily="18" charset="0"/>
            <a:cs typeface="Times New Roman" panose="02020603050405020304" pitchFamily="18" charset="0"/>
          </a:endParaRP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0.16495</cdr:x>
      <cdr:y>0.26851</cdr:y>
    </cdr:from>
    <cdr:to>
      <cdr:x>0.31992</cdr:x>
      <cdr:y>0.3119</cdr:y>
    </cdr:to>
    <cdr:sp macro="" textlink="">
      <cdr:nvSpPr>
        <cdr:cNvPr id="4" name="TextBox 16">
          <a:extLst xmlns:a="http://schemas.openxmlformats.org/drawingml/2006/main">
            <a:ext uri="{FF2B5EF4-FFF2-40B4-BE49-F238E27FC236}">
              <a16:creationId xmlns:a16="http://schemas.microsoft.com/office/drawing/2014/main" id="{0A175FA4-0DC4-43AE-9263-493F919E58B3}"/>
            </a:ext>
          </a:extLst>
        </cdr:cNvPr>
        <cdr:cNvSpPr txBox="1"/>
      </cdr:nvSpPr>
      <cdr:spPr>
        <a:xfrm xmlns:a="http://schemas.openxmlformats.org/drawingml/2006/main">
          <a:off x="1968334" y="1718679"/>
          <a:ext cx="1849285" cy="277731"/>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IT operations -</a:t>
          </a:r>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€4.6 bn</a:t>
          </a:r>
          <a:endParaRPr lang="en-US" sz="14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p>
      </cdr:txBody>
    </cdr:sp>
  </cdr:relSizeAnchor>
  <cdr:relSizeAnchor xmlns:cdr="http://schemas.openxmlformats.org/drawingml/2006/chartDrawing">
    <cdr:from>
      <cdr:x>0.1639</cdr:x>
      <cdr:y>0.31778</cdr:y>
    </cdr:from>
    <cdr:to>
      <cdr:x>0.19918</cdr:x>
      <cdr:y>0.40886</cdr:y>
    </cdr:to>
    <cdr:cxnSp macro="">
      <cdr:nvCxnSpPr>
        <cdr:cNvPr id="5" name="Straight Arrow Connector 4">
          <a:extLst xmlns:a="http://schemas.openxmlformats.org/drawingml/2006/main">
            <a:ext uri="{FF2B5EF4-FFF2-40B4-BE49-F238E27FC236}">
              <a16:creationId xmlns:a16="http://schemas.microsoft.com/office/drawing/2014/main" id="{F6A9B282-F22E-4D5A-8252-50B50C71C91C}"/>
            </a:ext>
          </a:extLst>
        </cdr:cNvPr>
        <cdr:cNvCxnSpPr/>
      </cdr:nvCxnSpPr>
      <cdr:spPr>
        <a:xfrm xmlns:a="http://schemas.openxmlformats.org/drawingml/2006/main" flipH="1">
          <a:off x="1977036" y="2034022"/>
          <a:ext cx="425564" cy="582985"/>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0.36908</cdr:x>
      <cdr:y>0.16311</cdr:y>
    </cdr:from>
    <cdr:to>
      <cdr:x>0.53696</cdr:x>
      <cdr:y>0.23333</cdr:y>
    </cdr:to>
    <cdr:sp macro="" textlink="">
      <cdr:nvSpPr>
        <cdr:cNvPr id="6" name="TextBox 3">
          <a:extLst xmlns:a="http://schemas.openxmlformats.org/drawingml/2006/main">
            <a:ext uri="{FF2B5EF4-FFF2-40B4-BE49-F238E27FC236}">
              <a16:creationId xmlns:a16="http://schemas.microsoft.com/office/drawing/2014/main" id="{F8CAF2E1-8BF1-7DA9-D6F5-BC2B2354071F}"/>
            </a:ext>
          </a:extLst>
        </cdr:cNvPr>
        <cdr:cNvSpPr txBox="1"/>
      </cdr:nvSpPr>
      <cdr:spPr>
        <a:xfrm xmlns:a="http://schemas.openxmlformats.org/drawingml/2006/main">
          <a:off x="4452070" y="1044025"/>
          <a:ext cx="2024930" cy="449465"/>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latin typeface="Calibri Light" panose="020F0302020204030204" pitchFamily="34" charset="0"/>
              <a:ea typeface="Calibri Light" panose="020F0302020204030204" pitchFamily="34" charset="0"/>
              <a:cs typeface="Calibri Light" panose="020F0302020204030204" pitchFamily="34" charset="0"/>
            </a:rPr>
            <a:t>Future Combat Air System project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€4.4 bn</a:t>
          </a: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0.36806</cdr:x>
      <cdr:y>0.24099</cdr:y>
    </cdr:from>
    <cdr:to>
      <cdr:x>0.41153</cdr:x>
      <cdr:y>0.31021</cdr:y>
    </cdr:to>
    <cdr:cxnSp macro="">
      <cdr:nvCxnSpPr>
        <cdr:cNvPr id="11" name="Straight Arrow Connector 10">
          <a:extLst xmlns:a="http://schemas.openxmlformats.org/drawingml/2006/main">
            <a:ext uri="{FF2B5EF4-FFF2-40B4-BE49-F238E27FC236}">
              <a16:creationId xmlns:a16="http://schemas.microsoft.com/office/drawing/2014/main" id="{D28453E8-9CE1-4B63-7637-5833EDF664EA}"/>
            </a:ext>
          </a:extLst>
        </cdr:cNvPr>
        <cdr:cNvCxnSpPr/>
      </cdr:nvCxnSpPr>
      <cdr:spPr>
        <a:xfrm xmlns:a="http://schemas.openxmlformats.org/drawingml/2006/main" flipH="1">
          <a:off x="4439687" y="1542544"/>
          <a:ext cx="524356" cy="443063"/>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0.16614</cdr:x>
      <cdr:y>0.52451</cdr:y>
    </cdr:from>
    <cdr:to>
      <cdr:x>0.23057</cdr:x>
      <cdr:y>0.67143</cdr:y>
    </cdr:to>
    <cdr:sp macro="" textlink="">
      <cdr:nvSpPr>
        <cdr:cNvPr id="12" name="TextBox 14">
          <a:extLst xmlns:a="http://schemas.openxmlformats.org/drawingml/2006/main">
            <a:ext uri="{FF2B5EF4-FFF2-40B4-BE49-F238E27FC236}">
              <a16:creationId xmlns:a16="http://schemas.microsoft.com/office/drawing/2014/main" id="{888E77C8-9ADC-4DF3-9329-0A4B1D23BF68}"/>
            </a:ext>
          </a:extLst>
        </cdr:cNvPr>
        <cdr:cNvSpPr txBox="1"/>
      </cdr:nvSpPr>
      <cdr:spPr>
        <a:xfrm xmlns:a="http://schemas.openxmlformats.org/drawingml/2006/main">
          <a:off x="2004060" y="3357265"/>
          <a:ext cx="777240" cy="940415"/>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latin typeface="Calibri Light" panose="020F0302020204030204" pitchFamily="34" charset="0"/>
              <a:ea typeface="Calibri Light" panose="020F0302020204030204" pitchFamily="34" charset="0"/>
              <a:cs typeface="Calibri Light" panose="020F0302020204030204" pitchFamily="34" charset="0"/>
            </a:rPr>
            <a:t>IT operat-ions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€1.6 bn</a:t>
          </a:r>
          <a:endParaRPr lang="en-US" sz="1400">
            <a:latin typeface="Calibri Light" panose="020F0302020204030204" pitchFamily="34" charset="0"/>
            <a:ea typeface="Calibri Light" panose="020F0302020204030204" pitchFamily="34" charset="0"/>
            <a:cs typeface="Calibri Light" panose="020F0302020204030204" pitchFamily="34" charset="0"/>
          </a:endParaRPr>
        </a:p>
      </cdr:txBody>
    </cdr:sp>
  </cdr:relSizeAnchor>
  <cdr:relSizeAnchor xmlns:cdr="http://schemas.openxmlformats.org/drawingml/2006/chartDrawing">
    <cdr:from>
      <cdr:x>0.17814</cdr:x>
      <cdr:y>0.67381</cdr:y>
    </cdr:from>
    <cdr:to>
      <cdr:x>0.19644</cdr:x>
      <cdr:y>0.73923</cdr:y>
    </cdr:to>
    <cdr:cxnSp macro="">
      <cdr:nvCxnSpPr>
        <cdr:cNvPr id="13" name="Straight Arrow Connector 12">
          <a:extLst xmlns:a="http://schemas.openxmlformats.org/drawingml/2006/main">
            <a:ext uri="{FF2B5EF4-FFF2-40B4-BE49-F238E27FC236}">
              <a16:creationId xmlns:a16="http://schemas.microsoft.com/office/drawing/2014/main" id="{1D620CBA-5BEF-4CC1-A026-7741866B087A}"/>
            </a:ext>
          </a:extLst>
        </cdr:cNvPr>
        <cdr:cNvCxnSpPr/>
      </cdr:nvCxnSpPr>
      <cdr:spPr>
        <a:xfrm xmlns:a="http://schemas.openxmlformats.org/drawingml/2006/main">
          <a:off x="2148840" y="4312920"/>
          <a:ext cx="220740" cy="418749"/>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0.86481</cdr:x>
      <cdr:y>0.22726</cdr:y>
    </cdr:from>
    <cdr:to>
      <cdr:x>0.98294</cdr:x>
      <cdr:y>0.33452</cdr:y>
    </cdr:to>
    <cdr:sp macro="" textlink="">
      <cdr:nvSpPr>
        <cdr:cNvPr id="19" name="TextBox 9">
          <a:extLst xmlns:a="http://schemas.openxmlformats.org/drawingml/2006/main">
            <a:ext uri="{FF2B5EF4-FFF2-40B4-BE49-F238E27FC236}">
              <a16:creationId xmlns:a16="http://schemas.microsoft.com/office/drawing/2014/main" id="{D9DAF369-FD2E-45C9-97AB-917F35607EAB}"/>
            </a:ext>
          </a:extLst>
        </cdr:cNvPr>
        <cdr:cNvSpPr txBox="1"/>
      </cdr:nvSpPr>
      <cdr:spPr>
        <a:xfrm xmlns:a="http://schemas.openxmlformats.org/drawingml/2006/main">
          <a:off x="10431780" y="1454661"/>
          <a:ext cx="1424932" cy="686559"/>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400">
              <a:latin typeface="Calibri Light" panose="020F0302020204030204" pitchFamily="34" charset="0"/>
              <a:ea typeface="Calibri Light" panose="020F0302020204030204" pitchFamily="34" charset="0"/>
              <a:cs typeface="Calibri Light" panose="020F0302020204030204" pitchFamily="34" charset="0"/>
            </a:rPr>
            <a:t>Military vehicle maintentance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a:t>
          </a:r>
          <a:r>
            <a:rPr lang="en-US" sz="1400">
              <a:latin typeface="Calibri Light" panose="020F0302020204030204" pitchFamily="34" charset="0"/>
              <a:ea typeface="Calibri Light" panose="020F0302020204030204" pitchFamily="34" charset="0"/>
              <a:cs typeface="Calibri Light" panose="020F0302020204030204" pitchFamily="34" charset="0"/>
            </a:rPr>
            <a:t>13.4 bn</a:t>
          </a:r>
        </a:p>
        <a:p xmlns:a="http://schemas.openxmlformats.org/drawingml/2006/main">
          <a:endParaRPr lang="en-US" sz="1100"/>
        </a:p>
      </cdr:txBody>
    </cdr:sp>
  </cdr:relSizeAnchor>
  <cdr:relSizeAnchor xmlns:cdr="http://schemas.openxmlformats.org/drawingml/2006/chartDrawing">
    <cdr:from>
      <cdr:x>0.85578</cdr:x>
      <cdr:y>0.34167</cdr:y>
    </cdr:from>
    <cdr:to>
      <cdr:x>0.90082</cdr:x>
      <cdr:y>0.46254</cdr:y>
    </cdr:to>
    <cdr:cxnSp macro="">
      <cdr:nvCxnSpPr>
        <cdr:cNvPr id="20" name="Straight Arrow Connector 19">
          <a:extLst xmlns:a="http://schemas.openxmlformats.org/drawingml/2006/main">
            <a:ext uri="{FF2B5EF4-FFF2-40B4-BE49-F238E27FC236}">
              <a16:creationId xmlns:a16="http://schemas.microsoft.com/office/drawing/2014/main" id="{3479F456-9CA4-4669-8D3B-6D43AAB04EFD}"/>
            </a:ext>
          </a:extLst>
        </cdr:cNvPr>
        <cdr:cNvCxnSpPr/>
      </cdr:nvCxnSpPr>
      <cdr:spPr>
        <a:xfrm xmlns:a="http://schemas.openxmlformats.org/drawingml/2006/main" flipH="1">
          <a:off x="10322866" y="2186970"/>
          <a:ext cx="543294" cy="773665"/>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userShapes>
</file>

<file path=xl/drawings/drawing26.xml><?xml version="1.0" encoding="utf-8"?>
<xdr:wsDr xmlns:xdr="http://schemas.openxmlformats.org/drawingml/2006/spreadsheetDrawing" xmlns:a="http://schemas.openxmlformats.org/drawingml/2006/main">
  <xdr:twoCellAnchor>
    <xdr:from>
      <xdr:col>7</xdr:col>
      <xdr:colOff>0</xdr:colOff>
      <xdr:row>5</xdr:row>
      <xdr:rowOff>7620</xdr:rowOff>
    </xdr:from>
    <xdr:to>
      <xdr:col>24</xdr:col>
      <xdr:colOff>662940</xdr:colOff>
      <xdr:row>37</xdr:row>
      <xdr:rowOff>0</xdr:rowOff>
    </xdr:to>
    <xdr:graphicFrame macro="">
      <xdr:nvGraphicFramePr>
        <xdr:cNvPr id="2" name="Chart 1">
          <a:extLst>
            <a:ext uri="{FF2B5EF4-FFF2-40B4-BE49-F238E27FC236}">
              <a16:creationId xmlns:a16="http://schemas.microsoft.com/office/drawing/2014/main" id="{9D23C3D3-AB22-47A8-BCC0-600C46FB6A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c:userShapes xmlns:c="http://schemas.openxmlformats.org/drawingml/2006/chart">
  <cdr:relSizeAnchor xmlns:cdr="http://schemas.openxmlformats.org/drawingml/2006/chartDrawing">
    <cdr:from>
      <cdr:x>0.04898</cdr:x>
      <cdr:y>0.10159</cdr:y>
    </cdr:from>
    <cdr:to>
      <cdr:x>0.17183</cdr:x>
      <cdr:y>0.18452</cdr:y>
    </cdr:to>
    <cdr:sp macro="" textlink="">
      <cdr:nvSpPr>
        <cdr:cNvPr id="3" name="TextBox 19">
          <a:extLst xmlns:a="http://schemas.openxmlformats.org/drawingml/2006/main">
            <a:ext uri="{FF2B5EF4-FFF2-40B4-BE49-F238E27FC236}">
              <a16:creationId xmlns:a16="http://schemas.microsoft.com/office/drawing/2014/main" id="{A2DED420-FAA1-BDF2-3E41-D437B3BA1BFF}"/>
            </a:ext>
          </a:extLst>
        </cdr:cNvPr>
        <cdr:cNvSpPr txBox="1"/>
      </cdr:nvSpPr>
      <cdr:spPr>
        <a:xfrm xmlns:a="http://schemas.openxmlformats.org/drawingml/2006/main">
          <a:off x="590791" y="650276"/>
          <a:ext cx="1481849" cy="53081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600">
              <a:latin typeface="Calibri Light" panose="020F0302020204030204" pitchFamily="34" charset="0"/>
              <a:ea typeface="Calibri Light" panose="020F0302020204030204" pitchFamily="34" charset="0"/>
              <a:cs typeface="Calibri Light" panose="020F0302020204030204" pitchFamily="34" charset="0"/>
            </a:rPr>
            <a:t>billion Euros</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600">
              <a:latin typeface="Calibri Light" panose="020F0302020204030204" pitchFamily="34" charset="0"/>
              <a:ea typeface="Calibri Light" panose="020F0302020204030204" pitchFamily="34" charset="0"/>
              <a:cs typeface="Calibri Light" panose="020F0302020204030204" pitchFamily="34" charset="0"/>
            </a:rPr>
            <a:t>Total: </a:t>
          </a:r>
          <a:r>
            <a:rPr lang="en-US" sz="16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€3.4 bn</a:t>
          </a:r>
          <a:endParaRPr lang="en-US" sz="16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r>
            <a:rPr lang="en-US" sz="1100">
              <a:latin typeface="Times New Roman" panose="02020603050405020304" pitchFamily="18" charset="0"/>
              <a:cs typeface="Times New Roman" panose="02020603050405020304" pitchFamily="18" charset="0"/>
            </a:rPr>
            <a:t> </a:t>
          </a: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0.79343</cdr:x>
      <cdr:y>0.57378</cdr:y>
    </cdr:from>
    <cdr:to>
      <cdr:x>0.91472</cdr:x>
      <cdr:y>0.64405</cdr:y>
    </cdr:to>
    <cdr:sp macro="" textlink="">
      <cdr:nvSpPr>
        <cdr:cNvPr id="19" name="TextBox 9">
          <a:extLst xmlns:a="http://schemas.openxmlformats.org/drawingml/2006/main">
            <a:ext uri="{FF2B5EF4-FFF2-40B4-BE49-F238E27FC236}">
              <a16:creationId xmlns:a16="http://schemas.microsoft.com/office/drawing/2014/main" id="{D9DAF369-FD2E-45C9-97AB-917F35607EAB}"/>
            </a:ext>
          </a:extLst>
        </cdr:cNvPr>
        <cdr:cNvSpPr txBox="1"/>
      </cdr:nvSpPr>
      <cdr:spPr>
        <a:xfrm xmlns:a="http://schemas.openxmlformats.org/drawingml/2006/main">
          <a:off x="9570719" y="3672662"/>
          <a:ext cx="1463041" cy="449757"/>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155mm artillery -</a:t>
          </a:r>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€0.28 bn</a:t>
          </a:r>
          <a:endParaRPr lang="en-US" sz="14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p>
      </cdr:txBody>
    </cdr:sp>
  </cdr:relSizeAnchor>
  <cdr:relSizeAnchor xmlns:cdr="http://schemas.openxmlformats.org/drawingml/2006/chartDrawing">
    <cdr:from>
      <cdr:x>0.81225</cdr:x>
      <cdr:y>0.6489</cdr:y>
    </cdr:from>
    <cdr:to>
      <cdr:x>0.85281</cdr:x>
      <cdr:y>0.74643</cdr:y>
    </cdr:to>
    <cdr:cxnSp macro="">
      <cdr:nvCxnSpPr>
        <cdr:cNvPr id="20" name="Straight Arrow Connector 19">
          <a:extLst xmlns:a="http://schemas.openxmlformats.org/drawingml/2006/main">
            <a:ext uri="{FF2B5EF4-FFF2-40B4-BE49-F238E27FC236}">
              <a16:creationId xmlns:a16="http://schemas.microsoft.com/office/drawing/2014/main" id="{3479F456-9CA4-4669-8D3B-6D43AAB04EFD}"/>
            </a:ext>
          </a:extLst>
        </cdr:cNvPr>
        <cdr:cNvCxnSpPr/>
      </cdr:nvCxnSpPr>
      <cdr:spPr>
        <a:xfrm xmlns:a="http://schemas.openxmlformats.org/drawingml/2006/main">
          <a:off x="9797764" y="4153455"/>
          <a:ext cx="489253" cy="624270"/>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0.56641</cdr:x>
      <cdr:y>0.52352</cdr:y>
    </cdr:from>
    <cdr:to>
      <cdr:x>0.76627</cdr:x>
      <cdr:y>0.60731</cdr:y>
    </cdr:to>
    <cdr:sp macro="" textlink="">
      <cdr:nvSpPr>
        <cdr:cNvPr id="21" name="TextBox 3">
          <a:extLst xmlns:a="http://schemas.openxmlformats.org/drawingml/2006/main">
            <a:ext uri="{FF2B5EF4-FFF2-40B4-BE49-F238E27FC236}">
              <a16:creationId xmlns:a16="http://schemas.microsoft.com/office/drawing/2014/main" id="{C0F62E8D-E054-CECB-EBDB-C1786EB56E1E}"/>
            </a:ext>
          </a:extLst>
        </cdr:cNvPr>
        <cdr:cNvSpPr txBox="1"/>
      </cdr:nvSpPr>
      <cdr:spPr>
        <a:xfrm xmlns:a="http://schemas.openxmlformats.org/drawingml/2006/main">
          <a:off x="6758940" y="3350947"/>
          <a:ext cx="2384899" cy="536323"/>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latin typeface="Calibri Light" panose="020F0302020204030204" pitchFamily="34" charset="0"/>
              <a:ea typeface="Calibri Light" panose="020F0302020204030204" pitchFamily="34" charset="0"/>
              <a:cs typeface="Calibri Light" panose="020F0302020204030204" pitchFamily="34" charset="0"/>
            </a:rPr>
            <a:t>Leopard 2 munition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€0.38 bn</a:t>
          </a:r>
          <a:endParaRPr lang="en-US" sz="1400">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r>
            <a:rPr lang="en-US" sz="1400">
              <a:latin typeface="Calibri Light" panose="020F0302020204030204" pitchFamily="34" charset="0"/>
              <a:ea typeface="Calibri Light" panose="020F0302020204030204" pitchFamily="34" charset="0"/>
              <a:cs typeface="Calibri Light" panose="020F0302020204030204" pitchFamily="34" charset="0"/>
            </a:rPr>
            <a:t>155mm artillery -</a:t>
          </a:r>
          <a:r>
            <a:rPr lang="en-US" sz="1400" baseline="0">
              <a:latin typeface="Calibri Light" panose="020F0302020204030204" pitchFamily="34" charset="0"/>
              <a:ea typeface="Calibri Light" panose="020F0302020204030204" pitchFamily="34" charset="0"/>
              <a:cs typeface="Calibri Light" panose="020F0302020204030204" pitchFamily="34" charset="0"/>
            </a:rPr>
            <a:t>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€0.25 bn</a:t>
          </a:r>
        </a:p>
        <a:p xmlns:a="http://schemas.openxmlformats.org/drawingml/2006/main">
          <a:endParaRPr lang="en-US" sz="1100">
            <a:solidFill>
              <a:schemeClr val="dk1"/>
            </a:solidFill>
            <a:effectLst/>
            <a:latin typeface="Times New Roman" panose="02020603050405020304" pitchFamily="18" charset="0"/>
            <a:ea typeface="+mn-ea"/>
            <a:cs typeface="Times New Roman" panose="02020603050405020304" pitchFamily="18" charset="0"/>
          </a:endParaRPr>
        </a:p>
      </cdr:txBody>
    </cdr:sp>
  </cdr:relSizeAnchor>
  <cdr:relSizeAnchor xmlns:cdr="http://schemas.openxmlformats.org/drawingml/2006/chartDrawing">
    <cdr:from>
      <cdr:x>0.719</cdr:x>
      <cdr:y>0.59826</cdr:y>
    </cdr:from>
    <cdr:to>
      <cdr:x>0.76436</cdr:x>
      <cdr:y>0.70461</cdr:y>
    </cdr:to>
    <cdr:cxnSp macro="">
      <cdr:nvCxnSpPr>
        <cdr:cNvPr id="27" name="Straight Arrow Connector 26">
          <a:extLst xmlns:a="http://schemas.openxmlformats.org/drawingml/2006/main">
            <a:ext uri="{FF2B5EF4-FFF2-40B4-BE49-F238E27FC236}">
              <a16:creationId xmlns:a16="http://schemas.microsoft.com/office/drawing/2014/main" id="{7A710D46-E7C4-9479-BD3C-FE2886225255}"/>
            </a:ext>
          </a:extLst>
        </cdr:cNvPr>
        <cdr:cNvCxnSpPr/>
      </cdr:nvCxnSpPr>
      <cdr:spPr>
        <a:xfrm xmlns:a="http://schemas.openxmlformats.org/drawingml/2006/main">
          <a:off x="8672957" y="3829346"/>
          <a:ext cx="547153" cy="680725"/>
        </a:xfrm>
        <a:prstGeom xmlns:a="http://schemas.openxmlformats.org/drawingml/2006/main" prst="straightConnector1">
          <a:avLst/>
        </a:prstGeom>
        <a:ln xmlns:a="http://schemas.openxmlformats.org/drawingml/2006/main">
          <a:tailEnd type="triangle"/>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0.77385</cdr:x>
      <cdr:y>0.35894</cdr:y>
    </cdr:from>
    <cdr:to>
      <cdr:x>0.95257</cdr:x>
      <cdr:y>0.4012</cdr:y>
    </cdr:to>
    <cdr:sp macro="" textlink="">
      <cdr:nvSpPr>
        <cdr:cNvPr id="8" name="TextBox 9">
          <a:extLst xmlns:a="http://schemas.openxmlformats.org/drawingml/2006/main">
            <a:ext uri="{FF2B5EF4-FFF2-40B4-BE49-F238E27FC236}">
              <a16:creationId xmlns:a16="http://schemas.microsoft.com/office/drawing/2014/main" id="{FD715C90-51BD-7130-7079-346794017E1D}"/>
            </a:ext>
          </a:extLst>
        </cdr:cNvPr>
        <cdr:cNvSpPr txBox="1"/>
      </cdr:nvSpPr>
      <cdr:spPr>
        <a:xfrm xmlns:a="http://schemas.openxmlformats.org/drawingml/2006/main">
          <a:off x="9334500" y="2297473"/>
          <a:ext cx="2155809" cy="270497"/>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155mm artillery -</a:t>
          </a:r>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€0.88 bn</a:t>
          </a:r>
          <a:endParaRPr lang="en-US" sz="14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p>
      </cdr:txBody>
    </cdr:sp>
  </cdr:relSizeAnchor>
  <cdr:relSizeAnchor xmlns:cdr="http://schemas.openxmlformats.org/drawingml/2006/chartDrawing">
    <cdr:from>
      <cdr:x>0.90615</cdr:x>
      <cdr:y>0.4103</cdr:y>
    </cdr:from>
    <cdr:to>
      <cdr:x>0.95136</cdr:x>
      <cdr:y>0.52619</cdr:y>
    </cdr:to>
    <cdr:cxnSp macro="">
      <cdr:nvCxnSpPr>
        <cdr:cNvPr id="9" name="Straight Arrow Connector 8">
          <a:extLst xmlns:a="http://schemas.openxmlformats.org/drawingml/2006/main">
            <a:ext uri="{FF2B5EF4-FFF2-40B4-BE49-F238E27FC236}">
              <a16:creationId xmlns:a16="http://schemas.microsoft.com/office/drawing/2014/main" id="{394DCF53-F426-FE1D-130B-202D2456E09B}"/>
            </a:ext>
          </a:extLst>
        </cdr:cNvPr>
        <cdr:cNvCxnSpPr/>
      </cdr:nvCxnSpPr>
      <cdr:spPr>
        <a:xfrm xmlns:a="http://schemas.openxmlformats.org/drawingml/2006/main">
          <a:off x="10930367" y="2626254"/>
          <a:ext cx="545343" cy="741789"/>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0.81049</cdr:x>
      <cdr:y>0.10101</cdr:y>
    </cdr:from>
    <cdr:to>
      <cdr:x>0.97928</cdr:x>
      <cdr:y>0.14286</cdr:y>
    </cdr:to>
    <cdr:sp macro="" textlink="">
      <cdr:nvSpPr>
        <cdr:cNvPr id="4" name="TextBox 9">
          <a:extLst xmlns:a="http://schemas.openxmlformats.org/drawingml/2006/main">
            <a:ext uri="{FF2B5EF4-FFF2-40B4-BE49-F238E27FC236}">
              <a16:creationId xmlns:a16="http://schemas.microsoft.com/office/drawing/2014/main" id="{AB3B58F9-3B6F-B8E6-E9F1-F6EAFBB6F6D8}"/>
            </a:ext>
          </a:extLst>
        </cdr:cNvPr>
        <cdr:cNvSpPr txBox="1"/>
      </cdr:nvSpPr>
      <cdr:spPr>
        <a:xfrm xmlns:a="http://schemas.openxmlformats.org/drawingml/2006/main">
          <a:off x="9776460" y="646539"/>
          <a:ext cx="2036052" cy="267873"/>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155mm artillery -</a:t>
          </a:r>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€1.3 bn</a:t>
          </a:r>
          <a:endParaRPr lang="en-US" sz="14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p>
      </cdr:txBody>
    </cdr:sp>
  </cdr:relSizeAnchor>
  <cdr:relSizeAnchor xmlns:cdr="http://schemas.openxmlformats.org/drawingml/2006/chartDrawing">
    <cdr:from>
      <cdr:x>0.92736</cdr:x>
      <cdr:y>0.14228</cdr:y>
    </cdr:from>
    <cdr:to>
      <cdr:x>0.97031</cdr:x>
      <cdr:y>0.24286</cdr:y>
    </cdr:to>
    <cdr:cxnSp macro="">
      <cdr:nvCxnSpPr>
        <cdr:cNvPr id="5" name="Straight Arrow Connector 4">
          <a:extLst xmlns:a="http://schemas.openxmlformats.org/drawingml/2006/main">
            <a:ext uri="{FF2B5EF4-FFF2-40B4-BE49-F238E27FC236}">
              <a16:creationId xmlns:a16="http://schemas.microsoft.com/office/drawing/2014/main" id="{63630A7B-8FBD-9D91-DBF9-D0C1F5B40038}"/>
            </a:ext>
          </a:extLst>
        </cdr:cNvPr>
        <cdr:cNvCxnSpPr/>
      </cdr:nvCxnSpPr>
      <cdr:spPr>
        <a:xfrm xmlns:a="http://schemas.openxmlformats.org/drawingml/2006/main">
          <a:off x="11186273" y="910697"/>
          <a:ext cx="518083" cy="643792"/>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userShapes>
</file>

<file path=xl/drawings/drawing28.xml><?xml version="1.0" encoding="utf-8"?>
<xdr:wsDr xmlns:xdr="http://schemas.openxmlformats.org/drawingml/2006/spreadsheetDrawing" xmlns:a="http://schemas.openxmlformats.org/drawingml/2006/main">
  <xdr:twoCellAnchor>
    <xdr:from>
      <xdr:col>7</xdr:col>
      <xdr:colOff>7620</xdr:colOff>
      <xdr:row>5</xdr:row>
      <xdr:rowOff>7620</xdr:rowOff>
    </xdr:from>
    <xdr:to>
      <xdr:col>25</xdr:col>
      <xdr:colOff>0</xdr:colOff>
      <xdr:row>37</xdr:row>
      <xdr:rowOff>15240</xdr:rowOff>
    </xdr:to>
    <xdr:graphicFrame macro="">
      <xdr:nvGraphicFramePr>
        <xdr:cNvPr id="2" name="Chart 1">
          <a:extLst>
            <a:ext uri="{FF2B5EF4-FFF2-40B4-BE49-F238E27FC236}">
              <a16:creationId xmlns:a16="http://schemas.microsoft.com/office/drawing/2014/main" id="{7F40DD62-2CA2-456D-A890-2FFEF7B847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9.xml><?xml version="1.0" encoding="utf-8"?>
<c:userShapes xmlns:c="http://schemas.openxmlformats.org/drawingml/2006/chart">
  <cdr:relSizeAnchor xmlns:cdr="http://schemas.openxmlformats.org/drawingml/2006/chartDrawing">
    <cdr:from>
      <cdr:x>0.07298</cdr:x>
      <cdr:y>0.10028</cdr:y>
    </cdr:from>
    <cdr:to>
      <cdr:x>0.20404</cdr:x>
      <cdr:y>0.18408</cdr:y>
    </cdr:to>
    <cdr:sp macro="" textlink="">
      <cdr:nvSpPr>
        <cdr:cNvPr id="3" name="TextBox 19">
          <a:extLst xmlns:a="http://schemas.openxmlformats.org/drawingml/2006/main">
            <a:ext uri="{FF2B5EF4-FFF2-40B4-BE49-F238E27FC236}">
              <a16:creationId xmlns:a16="http://schemas.microsoft.com/office/drawing/2014/main" id="{A2DED420-FAA1-BDF2-3E41-D437B3BA1BFF}"/>
            </a:ext>
          </a:extLst>
        </cdr:cNvPr>
        <cdr:cNvSpPr txBox="1"/>
      </cdr:nvSpPr>
      <cdr:spPr>
        <a:xfrm xmlns:a="http://schemas.openxmlformats.org/drawingml/2006/main">
          <a:off x="880300" y="643423"/>
          <a:ext cx="1580960" cy="537664"/>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600">
              <a:latin typeface="Calibri Light" panose="020F0302020204030204" pitchFamily="34" charset="0"/>
              <a:ea typeface="Calibri Light" panose="020F0302020204030204" pitchFamily="34" charset="0"/>
              <a:cs typeface="Calibri Light" panose="020F0302020204030204" pitchFamily="34" charset="0"/>
            </a:rPr>
            <a:t>units</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600">
              <a:latin typeface="Calibri Light" panose="020F0302020204030204" pitchFamily="34" charset="0"/>
              <a:ea typeface="Calibri Light" panose="020F0302020204030204" pitchFamily="34" charset="0"/>
              <a:cs typeface="Calibri Light" panose="020F0302020204030204" pitchFamily="34" charset="0"/>
            </a:rPr>
            <a:t>Total: 861,595</a:t>
          </a:r>
          <a:endParaRPr lang="en-US" sz="16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r>
            <a:rPr lang="en-US" sz="1100">
              <a:latin typeface="Times New Roman" panose="02020603050405020304" pitchFamily="18" charset="0"/>
              <a:cs typeface="Times New Roman" panose="02020603050405020304" pitchFamily="18" charset="0"/>
            </a:rPr>
            <a:t> </a:t>
          </a: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0.84523</cdr:x>
      <cdr:y>0.58888</cdr:y>
    </cdr:from>
    <cdr:to>
      <cdr:x>0.95976</cdr:x>
      <cdr:y>0.65083</cdr:y>
    </cdr:to>
    <cdr:sp macro="" textlink="">
      <cdr:nvSpPr>
        <cdr:cNvPr id="19" name="TextBox 9">
          <a:extLst xmlns:a="http://schemas.openxmlformats.org/drawingml/2006/main">
            <a:ext uri="{FF2B5EF4-FFF2-40B4-BE49-F238E27FC236}">
              <a16:creationId xmlns:a16="http://schemas.microsoft.com/office/drawing/2014/main" id="{D9DAF369-FD2E-45C9-97AB-917F35607EAB}"/>
            </a:ext>
          </a:extLst>
        </cdr:cNvPr>
        <cdr:cNvSpPr txBox="1"/>
      </cdr:nvSpPr>
      <cdr:spPr>
        <a:xfrm xmlns:a="http://schemas.openxmlformats.org/drawingml/2006/main">
          <a:off x="10195560" y="3778285"/>
          <a:ext cx="1381551" cy="397473"/>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155mm artillery -</a:t>
          </a:r>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68,000 rounds</a:t>
          </a:r>
          <a:endParaRPr lang="en-US" sz="14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p>
      </cdr:txBody>
    </cdr:sp>
  </cdr:relSizeAnchor>
  <cdr:relSizeAnchor xmlns:cdr="http://schemas.openxmlformats.org/drawingml/2006/chartDrawing">
    <cdr:from>
      <cdr:x>0.88288</cdr:x>
      <cdr:y>0.66641</cdr:y>
    </cdr:from>
    <cdr:to>
      <cdr:x>0.90682</cdr:x>
      <cdr:y>0.76658</cdr:y>
    </cdr:to>
    <cdr:cxnSp macro="">
      <cdr:nvCxnSpPr>
        <cdr:cNvPr id="20" name="Straight Arrow Connector 19">
          <a:extLst xmlns:a="http://schemas.openxmlformats.org/drawingml/2006/main">
            <a:ext uri="{FF2B5EF4-FFF2-40B4-BE49-F238E27FC236}">
              <a16:creationId xmlns:a16="http://schemas.microsoft.com/office/drawing/2014/main" id="{3479F456-9CA4-4669-8D3B-6D43AAB04EFD}"/>
            </a:ext>
          </a:extLst>
        </cdr:cNvPr>
        <cdr:cNvCxnSpPr/>
      </cdr:nvCxnSpPr>
      <cdr:spPr>
        <a:xfrm xmlns:a="http://schemas.openxmlformats.org/drawingml/2006/main" flipH="1">
          <a:off x="10649676" y="4275683"/>
          <a:ext cx="288776" cy="642694"/>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0.7201</cdr:x>
      <cdr:y>0.49183</cdr:y>
    </cdr:from>
    <cdr:to>
      <cdr:x>0.85723</cdr:x>
      <cdr:y>0.56651</cdr:y>
    </cdr:to>
    <cdr:sp macro="" textlink="">
      <cdr:nvSpPr>
        <cdr:cNvPr id="21" name="TextBox 3">
          <a:extLst xmlns:a="http://schemas.openxmlformats.org/drawingml/2006/main">
            <a:ext uri="{FF2B5EF4-FFF2-40B4-BE49-F238E27FC236}">
              <a16:creationId xmlns:a16="http://schemas.microsoft.com/office/drawing/2014/main" id="{C0F62E8D-E054-CECB-EBDB-C1786EB56E1E}"/>
            </a:ext>
          </a:extLst>
        </cdr:cNvPr>
        <cdr:cNvSpPr txBox="1"/>
      </cdr:nvSpPr>
      <cdr:spPr>
        <a:xfrm xmlns:a="http://schemas.openxmlformats.org/drawingml/2006/main">
          <a:off x="8686132" y="3155578"/>
          <a:ext cx="1654208" cy="479150"/>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latin typeface="Calibri Light" panose="020F0302020204030204" pitchFamily="34" charset="0"/>
              <a:ea typeface="Calibri Light" panose="020F0302020204030204" pitchFamily="34" charset="0"/>
              <a:cs typeface="Calibri Light" panose="020F0302020204030204" pitchFamily="34" charset="0"/>
            </a:rPr>
            <a:t>Leopard 2 munition - 113,000 rounds</a:t>
          </a:r>
          <a:endPar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solidFill>
              <a:schemeClr val="dk1"/>
            </a:solidFill>
            <a:effectLst/>
            <a:latin typeface="Times New Roman" panose="02020603050405020304" pitchFamily="18" charset="0"/>
            <a:ea typeface="+mn-ea"/>
            <a:cs typeface="Times New Roman" panose="02020603050405020304" pitchFamily="18" charset="0"/>
          </a:endParaRPr>
        </a:p>
      </cdr:txBody>
    </cdr:sp>
  </cdr:relSizeAnchor>
  <cdr:relSizeAnchor xmlns:cdr="http://schemas.openxmlformats.org/drawingml/2006/chartDrawing">
    <cdr:from>
      <cdr:x>0.74928</cdr:x>
      <cdr:y>0.56837</cdr:y>
    </cdr:from>
    <cdr:to>
      <cdr:x>0.78268</cdr:x>
      <cdr:y>0.68178</cdr:y>
    </cdr:to>
    <cdr:cxnSp macro="">
      <cdr:nvCxnSpPr>
        <cdr:cNvPr id="27" name="Straight Arrow Connector 26">
          <a:extLst xmlns:a="http://schemas.openxmlformats.org/drawingml/2006/main">
            <a:ext uri="{FF2B5EF4-FFF2-40B4-BE49-F238E27FC236}">
              <a16:creationId xmlns:a16="http://schemas.microsoft.com/office/drawing/2014/main" id="{7A710D46-E7C4-9479-BD3C-FE2886225255}"/>
            </a:ext>
          </a:extLst>
        </cdr:cNvPr>
        <cdr:cNvCxnSpPr/>
      </cdr:nvCxnSpPr>
      <cdr:spPr>
        <a:xfrm xmlns:a="http://schemas.openxmlformats.org/drawingml/2006/main">
          <a:off x="9038108" y="3646703"/>
          <a:ext cx="402886" cy="727643"/>
        </a:xfrm>
        <a:prstGeom xmlns:a="http://schemas.openxmlformats.org/drawingml/2006/main" prst="straightConnector1">
          <a:avLst/>
        </a:prstGeom>
        <a:ln xmlns:a="http://schemas.openxmlformats.org/drawingml/2006/main">
          <a:tailEnd type="triangle"/>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0.84713</cdr:x>
      <cdr:y>0.20695</cdr:y>
    </cdr:from>
    <cdr:to>
      <cdr:x>0.96588</cdr:x>
      <cdr:y>0.27672</cdr:y>
    </cdr:to>
    <cdr:sp macro="" textlink="">
      <cdr:nvSpPr>
        <cdr:cNvPr id="6" name="TextBox 9">
          <a:extLst xmlns:a="http://schemas.openxmlformats.org/drawingml/2006/main">
            <a:ext uri="{FF2B5EF4-FFF2-40B4-BE49-F238E27FC236}">
              <a16:creationId xmlns:a16="http://schemas.microsoft.com/office/drawing/2014/main" id="{4AB17E10-6D31-6379-5286-1203DB87799C}"/>
            </a:ext>
          </a:extLst>
        </cdr:cNvPr>
        <cdr:cNvSpPr txBox="1"/>
      </cdr:nvSpPr>
      <cdr:spPr>
        <a:xfrm xmlns:a="http://schemas.openxmlformats.org/drawingml/2006/main">
          <a:off x="10218420" y="1327803"/>
          <a:ext cx="1432513" cy="447657"/>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155mm artillery -</a:t>
          </a:r>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300,000 rounds</a:t>
          </a:r>
          <a:endParaRPr lang="en-US" sz="14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p>
      </cdr:txBody>
    </cdr:sp>
  </cdr:relSizeAnchor>
  <cdr:relSizeAnchor xmlns:cdr="http://schemas.openxmlformats.org/drawingml/2006/chartDrawing">
    <cdr:from>
      <cdr:x>0.92886</cdr:x>
      <cdr:y>0.28394</cdr:y>
    </cdr:from>
    <cdr:to>
      <cdr:x>0.96288</cdr:x>
      <cdr:y>0.39218</cdr:y>
    </cdr:to>
    <cdr:cxnSp macro="">
      <cdr:nvCxnSpPr>
        <cdr:cNvPr id="7" name="Straight Arrow Connector 6">
          <a:extLst xmlns:a="http://schemas.openxmlformats.org/drawingml/2006/main">
            <a:ext uri="{FF2B5EF4-FFF2-40B4-BE49-F238E27FC236}">
              <a16:creationId xmlns:a16="http://schemas.microsoft.com/office/drawing/2014/main" id="{0889386B-B37C-9B20-2B0B-49187DA4F840}"/>
            </a:ext>
          </a:extLst>
        </cdr:cNvPr>
        <cdr:cNvCxnSpPr/>
      </cdr:nvCxnSpPr>
      <cdr:spPr>
        <a:xfrm xmlns:a="http://schemas.openxmlformats.org/drawingml/2006/main">
          <a:off x="11204340" y="1821744"/>
          <a:ext cx="410365" cy="694472"/>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0.57044</cdr:x>
      <cdr:y>0.20563</cdr:y>
    </cdr:from>
    <cdr:to>
      <cdr:x>0.69572</cdr:x>
      <cdr:y>0.27554</cdr:y>
    </cdr:to>
    <cdr:sp macro="" textlink="">
      <cdr:nvSpPr>
        <cdr:cNvPr id="5" name="TextBox 3">
          <a:extLst xmlns:a="http://schemas.openxmlformats.org/drawingml/2006/main">
            <a:ext uri="{FF2B5EF4-FFF2-40B4-BE49-F238E27FC236}">
              <a16:creationId xmlns:a16="http://schemas.microsoft.com/office/drawing/2014/main" id="{0A0BE8A0-AB4A-EB71-21BB-505C9E46CCA6}"/>
            </a:ext>
          </a:extLst>
        </cdr:cNvPr>
        <cdr:cNvSpPr txBox="1"/>
      </cdr:nvSpPr>
      <cdr:spPr>
        <a:xfrm xmlns:a="http://schemas.openxmlformats.org/drawingml/2006/main">
          <a:off x="6880861" y="1319304"/>
          <a:ext cx="1511262" cy="448545"/>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latin typeface="Calibri Light" panose="020F0302020204030204" pitchFamily="34" charset="0"/>
              <a:ea typeface="Calibri Light" panose="020F0302020204030204" pitchFamily="34" charset="0"/>
              <a:cs typeface="Calibri Light" panose="020F0302020204030204" pitchFamily="34" charset="0"/>
            </a:rPr>
            <a:t>Gepard munition - 300,000 rounds</a:t>
          </a:r>
          <a:endPar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solidFill>
              <a:schemeClr val="dk1"/>
            </a:solidFill>
            <a:effectLst/>
            <a:latin typeface="Times New Roman" panose="02020603050405020304" pitchFamily="18" charset="0"/>
            <a:ea typeface="+mn-ea"/>
            <a:cs typeface="Times New Roman" panose="02020603050405020304" pitchFamily="18" charset="0"/>
          </a:endParaRPr>
        </a:p>
      </cdr:txBody>
    </cdr:sp>
  </cdr:relSizeAnchor>
  <cdr:relSizeAnchor xmlns:cdr="http://schemas.openxmlformats.org/drawingml/2006/chartDrawing">
    <cdr:from>
      <cdr:x>0.66085</cdr:x>
      <cdr:y>0.28616</cdr:y>
    </cdr:from>
    <cdr:to>
      <cdr:x>0.69425</cdr:x>
      <cdr:y>0.39957</cdr:y>
    </cdr:to>
    <cdr:cxnSp macro="">
      <cdr:nvCxnSpPr>
        <cdr:cNvPr id="8" name="Straight Arrow Connector 7">
          <a:extLst xmlns:a="http://schemas.openxmlformats.org/drawingml/2006/main">
            <a:ext uri="{FF2B5EF4-FFF2-40B4-BE49-F238E27FC236}">
              <a16:creationId xmlns:a16="http://schemas.microsoft.com/office/drawing/2014/main" id="{CE551848-42B5-8729-3F30-BFC36D6A7034}"/>
            </a:ext>
          </a:extLst>
        </cdr:cNvPr>
        <cdr:cNvCxnSpPr/>
      </cdr:nvCxnSpPr>
      <cdr:spPr>
        <a:xfrm xmlns:a="http://schemas.openxmlformats.org/drawingml/2006/main">
          <a:off x="7971421" y="1836029"/>
          <a:ext cx="402886" cy="727643"/>
        </a:xfrm>
        <a:prstGeom xmlns:a="http://schemas.openxmlformats.org/drawingml/2006/main" prst="straightConnector1">
          <a:avLst/>
        </a:prstGeom>
        <a:ln xmlns:a="http://schemas.openxmlformats.org/drawingml/2006/main">
          <a:tailEnd type="triangle"/>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3.xml><?xml version="1.0" encoding="utf-8"?>
<xdr:wsDr xmlns:xdr="http://schemas.openxmlformats.org/drawingml/2006/spreadsheetDrawing" xmlns:a="http://schemas.openxmlformats.org/drawingml/2006/main">
  <xdr:twoCellAnchor>
    <xdr:from>
      <xdr:col>8</xdr:col>
      <xdr:colOff>7620</xdr:colOff>
      <xdr:row>5</xdr:row>
      <xdr:rowOff>7620</xdr:rowOff>
    </xdr:from>
    <xdr:to>
      <xdr:col>26</xdr:col>
      <xdr:colOff>30480</xdr:colOff>
      <xdr:row>36</xdr:row>
      <xdr:rowOff>190500</xdr:rowOff>
    </xdr:to>
    <xdr:graphicFrame macro="">
      <xdr:nvGraphicFramePr>
        <xdr:cNvPr id="2" name="Chart 1">
          <a:extLst>
            <a:ext uri="{FF2B5EF4-FFF2-40B4-BE49-F238E27FC236}">
              <a16:creationId xmlns:a16="http://schemas.microsoft.com/office/drawing/2014/main" id="{BC9957CD-3230-4563-805B-A630AB21FD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0.xml><?xml version="1.0" encoding="utf-8"?>
<xdr:wsDr xmlns:xdr="http://schemas.openxmlformats.org/drawingml/2006/spreadsheetDrawing" xmlns:a="http://schemas.openxmlformats.org/drawingml/2006/main">
  <xdr:twoCellAnchor>
    <xdr:from>
      <xdr:col>7</xdr:col>
      <xdr:colOff>0</xdr:colOff>
      <xdr:row>5</xdr:row>
      <xdr:rowOff>0</xdr:rowOff>
    </xdr:from>
    <xdr:to>
      <xdr:col>25</xdr:col>
      <xdr:colOff>22860</xdr:colOff>
      <xdr:row>37</xdr:row>
      <xdr:rowOff>7620</xdr:rowOff>
    </xdr:to>
    <xdr:graphicFrame macro="">
      <xdr:nvGraphicFramePr>
        <xdr:cNvPr id="2" name="Chart 1">
          <a:extLst>
            <a:ext uri="{FF2B5EF4-FFF2-40B4-BE49-F238E27FC236}">
              <a16:creationId xmlns:a16="http://schemas.microsoft.com/office/drawing/2014/main" id="{F9210DD7-5F1A-4E7A-B39D-0785346E1B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1.xml><?xml version="1.0" encoding="utf-8"?>
<c:userShapes xmlns:c="http://schemas.openxmlformats.org/drawingml/2006/chart">
  <cdr:relSizeAnchor xmlns:cdr="http://schemas.openxmlformats.org/drawingml/2006/chartDrawing">
    <cdr:from>
      <cdr:x>0.04642</cdr:x>
      <cdr:y>0.12267</cdr:y>
    </cdr:from>
    <cdr:to>
      <cdr:x>0.17958</cdr:x>
      <cdr:y>0.19952</cdr:y>
    </cdr:to>
    <cdr:sp macro="" textlink="">
      <cdr:nvSpPr>
        <cdr:cNvPr id="3" name="TextBox 19">
          <a:extLst xmlns:a="http://schemas.openxmlformats.org/drawingml/2006/main">
            <a:ext uri="{FF2B5EF4-FFF2-40B4-BE49-F238E27FC236}">
              <a16:creationId xmlns:a16="http://schemas.microsoft.com/office/drawing/2014/main" id="{A2DED420-FAA1-BDF2-3E41-D437B3BA1BFF}"/>
            </a:ext>
          </a:extLst>
        </cdr:cNvPr>
        <cdr:cNvSpPr txBox="1"/>
      </cdr:nvSpPr>
      <cdr:spPr>
        <a:xfrm xmlns:a="http://schemas.openxmlformats.org/drawingml/2006/main">
          <a:off x="561376" y="787055"/>
          <a:ext cx="1610324" cy="493073"/>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600">
              <a:latin typeface="Calibri Light" panose="020F0302020204030204" pitchFamily="34" charset="0"/>
              <a:ea typeface="Calibri Light" panose="020F0302020204030204" pitchFamily="34" charset="0"/>
              <a:cs typeface="Calibri Light" panose="020F0302020204030204" pitchFamily="34" charset="0"/>
            </a:rPr>
            <a:t>billion Euros</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600">
              <a:latin typeface="Calibri Light" panose="020F0302020204030204" pitchFamily="34" charset="0"/>
              <a:ea typeface="Calibri Light" panose="020F0302020204030204" pitchFamily="34" charset="0"/>
              <a:cs typeface="Calibri Light" panose="020F0302020204030204" pitchFamily="34" charset="0"/>
            </a:rPr>
            <a:t>Total: </a:t>
          </a:r>
          <a:r>
            <a:rPr lang="en-US" sz="16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€0.37 bn</a:t>
          </a:r>
          <a:endParaRPr lang="en-US" sz="16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r>
            <a:rPr lang="en-US" sz="1100">
              <a:latin typeface="Times New Roman" panose="02020603050405020304" pitchFamily="18" charset="0"/>
              <a:cs typeface="Times New Roman" panose="02020603050405020304" pitchFamily="18" charset="0"/>
            </a:rPr>
            <a:t> </a:t>
          </a: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0.75237</cdr:x>
      <cdr:y>0.24681</cdr:y>
    </cdr:from>
    <cdr:to>
      <cdr:x>0.86767</cdr:x>
      <cdr:y>0.31829</cdr:y>
    </cdr:to>
    <cdr:sp macro="" textlink="">
      <cdr:nvSpPr>
        <cdr:cNvPr id="19" name="TextBox 9">
          <a:extLst xmlns:a="http://schemas.openxmlformats.org/drawingml/2006/main">
            <a:ext uri="{FF2B5EF4-FFF2-40B4-BE49-F238E27FC236}">
              <a16:creationId xmlns:a16="http://schemas.microsoft.com/office/drawing/2014/main" id="{D9DAF369-FD2E-45C9-97AB-917F35607EAB}"/>
            </a:ext>
          </a:extLst>
        </cdr:cNvPr>
        <cdr:cNvSpPr txBox="1"/>
      </cdr:nvSpPr>
      <cdr:spPr>
        <a:xfrm xmlns:a="http://schemas.openxmlformats.org/drawingml/2006/main">
          <a:off x="9098412" y="1583543"/>
          <a:ext cx="1394327" cy="458618"/>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Panzerhaubitze 2000 -</a:t>
          </a:r>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€0.19 bn</a:t>
          </a:r>
          <a:endParaRPr lang="en-US" sz="14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p>
      </cdr:txBody>
    </cdr:sp>
  </cdr:relSizeAnchor>
  <cdr:relSizeAnchor xmlns:cdr="http://schemas.openxmlformats.org/drawingml/2006/chartDrawing">
    <cdr:from>
      <cdr:x>0.74859</cdr:x>
      <cdr:y>0.32477</cdr:y>
    </cdr:from>
    <cdr:to>
      <cdr:x>0.77253</cdr:x>
      <cdr:y>0.42494</cdr:y>
    </cdr:to>
    <cdr:cxnSp macro="">
      <cdr:nvCxnSpPr>
        <cdr:cNvPr id="20" name="Straight Arrow Connector 19">
          <a:extLst xmlns:a="http://schemas.openxmlformats.org/drawingml/2006/main">
            <a:ext uri="{FF2B5EF4-FFF2-40B4-BE49-F238E27FC236}">
              <a16:creationId xmlns:a16="http://schemas.microsoft.com/office/drawing/2014/main" id="{3479F456-9CA4-4669-8D3B-6D43AAB04EFD}"/>
            </a:ext>
          </a:extLst>
        </cdr:cNvPr>
        <cdr:cNvCxnSpPr/>
      </cdr:nvCxnSpPr>
      <cdr:spPr>
        <a:xfrm xmlns:a="http://schemas.openxmlformats.org/drawingml/2006/main" flipH="1">
          <a:off x="9052693" y="2083760"/>
          <a:ext cx="289505" cy="642695"/>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0.58286</cdr:x>
      <cdr:y>0.24959</cdr:y>
    </cdr:from>
    <cdr:to>
      <cdr:x>0.69691</cdr:x>
      <cdr:y>0.32423</cdr:y>
    </cdr:to>
    <cdr:sp macro="" textlink="">
      <cdr:nvSpPr>
        <cdr:cNvPr id="21" name="TextBox 3">
          <a:extLst xmlns:a="http://schemas.openxmlformats.org/drawingml/2006/main">
            <a:ext uri="{FF2B5EF4-FFF2-40B4-BE49-F238E27FC236}">
              <a16:creationId xmlns:a16="http://schemas.microsoft.com/office/drawing/2014/main" id="{C0F62E8D-E054-CECB-EBDB-C1786EB56E1E}"/>
            </a:ext>
          </a:extLst>
        </cdr:cNvPr>
        <cdr:cNvSpPr txBox="1"/>
      </cdr:nvSpPr>
      <cdr:spPr>
        <a:xfrm xmlns:a="http://schemas.openxmlformats.org/drawingml/2006/main">
          <a:off x="7048500" y="1601368"/>
          <a:ext cx="1379218" cy="478893"/>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Panzerhaubitze 2000 -</a:t>
          </a:r>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€0.18 bn</a:t>
          </a:r>
        </a:p>
        <a:p xmlns:a="http://schemas.openxmlformats.org/drawingml/2006/main">
          <a:endParaRPr lang="en-US" sz="1100">
            <a:solidFill>
              <a:schemeClr val="dk1"/>
            </a:solidFill>
            <a:effectLst/>
            <a:latin typeface="Times New Roman" panose="02020603050405020304" pitchFamily="18" charset="0"/>
            <a:ea typeface="+mn-ea"/>
            <a:cs typeface="Times New Roman" panose="02020603050405020304" pitchFamily="18" charset="0"/>
          </a:endParaRPr>
        </a:p>
      </cdr:txBody>
    </cdr:sp>
  </cdr:relSizeAnchor>
  <cdr:relSizeAnchor xmlns:cdr="http://schemas.openxmlformats.org/drawingml/2006/chartDrawing">
    <cdr:from>
      <cdr:x>0.66793</cdr:x>
      <cdr:y>0.33273</cdr:y>
    </cdr:from>
    <cdr:to>
      <cdr:x>0.6944</cdr:x>
      <cdr:y>0.43291</cdr:y>
    </cdr:to>
    <cdr:cxnSp macro="">
      <cdr:nvCxnSpPr>
        <cdr:cNvPr id="27" name="Straight Arrow Connector 26">
          <a:extLst xmlns:a="http://schemas.openxmlformats.org/drawingml/2006/main">
            <a:ext uri="{FF2B5EF4-FFF2-40B4-BE49-F238E27FC236}">
              <a16:creationId xmlns:a16="http://schemas.microsoft.com/office/drawing/2014/main" id="{7A710D46-E7C4-9479-BD3C-FE2886225255}"/>
            </a:ext>
          </a:extLst>
        </cdr:cNvPr>
        <cdr:cNvCxnSpPr/>
      </cdr:nvCxnSpPr>
      <cdr:spPr>
        <a:xfrm xmlns:a="http://schemas.openxmlformats.org/drawingml/2006/main">
          <a:off x="8077263" y="2134824"/>
          <a:ext cx="320101" cy="642759"/>
        </a:xfrm>
        <a:prstGeom xmlns:a="http://schemas.openxmlformats.org/drawingml/2006/main" prst="straightConnector1">
          <a:avLst/>
        </a:prstGeom>
        <a:ln xmlns:a="http://schemas.openxmlformats.org/drawingml/2006/main">
          <a:tailEnd type="triangle"/>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32.xml><?xml version="1.0" encoding="utf-8"?>
<xdr:wsDr xmlns:xdr="http://schemas.openxmlformats.org/drawingml/2006/spreadsheetDrawing" xmlns:a="http://schemas.openxmlformats.org/drawingml/2006/main">
  <xdr:twoCellAnchor>
    <xdr:from>
      <xdr:col>7</xdr:col>
      <xdr:colOff>0</xdr:colOff>
      <xdr:row>5</xdr:row>
      <xdr:rowOff>7620</xdr:rowOff>
    </xdr:from>
    <xdr:to>
      <xdr:col>25</xdr:col>
      <xdr:colOff>22860</xdr:colOff>
      <xdr:row>37</xdr:row>
      <xdr:rowOff>0</xdr:rowOff>
    </xdr:to>
    <xdr:graphicFrame macro="">
      <xdr:nvGraphicFramePr>
        <xdr:cNvPr id="2" name="Chart 1">
          <a:extLst>
            <a:ext uri="{FF2B5EF4-FFF2-40B4-BE49-F238E27FC236}">
              <a16:creationId xmlns:a16="http://schemas.microsoft.com/office/drawing/2014/main" id="{E9BD4207-0C3F-4668-A32C-D531FCBDA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3.xml><?xml version="1.0" encoding="utf-8"?>
<c:userShapes xmlns:c="http://schemas.openxmlformats.org/drawingml/2006/chart">
  <cdr:relSizeAnchor xmlns:cdr="http://schemas.openxmlformats.org/drawingml/2006/chartDrawing">
    <cdr:from>
      <cdr:x>0.0376</cdr:x>
      <cdr:y>0.10331</cdr:y>
    </cdr:from>
    <cdr:to>
      <cdr:x>0.13359</cdr:x>
      <cdr:y>0.19167</cdr:y>
    </cdr:to>
    <cdr:sp macro="" textlink="">
      <cdr:nvSpPr>
        <cdr:cNvPr id="3" name="TextBox 19">
          <a:extLst xmlns:a="http://schemas.openxmlformats.org/drawingml/2006/main">
            <a:ext uri="{FF2B5EF4-FFF2-40B4-BE49-F238E27FC236}">
              <a16:creationId xmlns:a16="http://schemas.microsoft.com/office/drawing/2014/main" id="{A2DED420-FAA1-BDF2-3E41-D437B3BA1BFF}"/>
            </a:ext>
          </a:extLst>
        </cdr:cNvPr>
        <cdr:cNvSpPr txBox="1"/>
      </cdr:nvSpPr>
      <cdr:spPr>
        <a:xfrm xmlns:a="http://schemas.openxmlformats.org/drawingml/2006/main">
          <a:off x="454718" y="661251"/>
          <a:ext cx="1160721" cy="565569"/>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600">
              <a:solidFill>
                <a:schemeClr val="tx1"/>
              </a:solidFill>
              <a:latin typeface="Calibri Light" panose="020F0302020204030204" pitchFamily="34" charset="0"/>
              <a:ea typeface="Calibri Light" panose="020F0302020204030204" pitchFamily="34" charset="0"/>
              <a:cs typeface="Calibri Light" panose="020F0302020204030204" pitchFamily="34" charset="0"/>
            </a:rPr>
            <a:t>units</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600">
              <a:solidFill>
                <a:schemeClr val="tx1"/>
              </a:solidFill>
              <a:latin typeface="Calibri Light" panose="020F0302020204030204" pitchFamily="34" charset="0"/>
              <a:ea typeface="Calibri Light" panose="020F0302020204030204" pitchFamily="34" charset="0"/>
              <a:cs typeface="Calibri Light" panose="020F0302020204030204" pitchFamily="34" charset="0"/>
            </a:rPr>
            <a:t>Total: 22</a:t>
          </a:r>
          <a:endParaRPr lang="en-US" sz="1600">
            <a:solidFill>
              <a:schemeClr val="tx1"/>
            </a:solidFill>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r>
            <a:rPr lang="en-US" sz="1200">
              <a:latin typeface="Calibri Light" panose="020F0302020204030204" pitchFamily="34" charset="0"/>
              <a:ea typeface="Calibri Light" panose="020F0302020204030204" pitchFamily="34" charset="0"/>
              <a:cs typeface="Calibri Light" panose="020F0302020204030204" pitchFamily="34" charset="0"/>
            </a:rPr>
            <a:t> </a:t>
          </a: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0.74607</cdr:x>
      <cdr:y>0.27116</cdr:y>
    </cdr:from>
    <cdr:to>
      <cdr:x>0.77001</cdr:x>
      <cdr:y>0.37133</cdr:y>
    </cdr:to>
    <cdr:cxnSp macro="">
      <cdr:nvCxnSpPr>
        <cdr:cNvPr id="20" name="Straight Arrow Connector 19">
          <a:extLst xmlns:a="http://schemas.openxmlformats.org/drawingml/2006/main">
            <a:ext uri="{FF2B5EF4-FFF2-40B4-BE49-F238E27FC236}">
              <a16:creationId xmlns:a16="http://schemas.microsoft.com/office/drawing/2014/main" id="{3479F456-9CA4-4669-8D3B-6D43AAB04EFD}"/>
            </a:ext>
          </a:extLst>
        </cdr:cNvPr>
        <cdr:cNvCxnSpPr/>
      </cdr:nvCxnSpPr>
      <cdr:spPr>
        <a:xfrm xmlns:a="http://schemas.openxmlformats.org/drawingml/2006/main" flipH="1">
          <a:off x="9022216" y="1735671"/>
          <a:ext cx="289505" cy="641169"/>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0.64903</cdr:x>
      <cdr:y>0.38846</cdr:y>
    </cdr:from>
    <cdr:to>
      <cdr:x>0.68936</cdr:x>
      <cdr:y>0.48864</cdr:y>
    </cdr:to>
    <cdr:cxnSp macro="">
      <cdr:nvCxnSpPr>
        <cdr:cNvPr id="27" name="Straight Arrow Connector 26">
          <a:extLst xmlns:a="http://schemas.openxmlformats.org/drawingml/2006/main">
            <a:ext uri="{FF2B5EF4-FFF2-40B4-BE49-F238E27FC236}">
              <a16:creationId xmlns:a16="http://schemas.microsoft.com/office/drawing/2014/main" id="{7A710D46-E7C4-9479-BD3C-FE2886225255}"/>
            </a:ext>
          </a:extLst>
        </cdr:cNvPr>
        <cdr:cNvCxnSpPr/>
      </cdr:nvCxnSpPr>
      <cdr:spPr>
        <a:xfrm xmlns:a="http://schemas.openxmlformats.org/drawingml/2006/main">
          <a:off x="7848697" y="2486485"/>
          <a:ext cx="487708" cy="641232"/>
        </a:xfrm>
        <a:prstGeom xmlns:a="http://schemas.openxmlformats.org/drawingml/2006/main" prst="straightConnector1">
          <a:avLst/>
        </a:prstGeom>
        <a:ln xmlns:a="http://schemas.openxmlformats.org/drawingml/2006/main">
          <a:tailEnd type="triangle"/>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0.52111</cdr:x>
      <cdr:y>0.33237</cdr:y>
    </cdr:from>
    <cdr:to>
      <cdr:x>0.69061</cdr:x>
      <cdr:y>0.38333</cdr:y>
    </cdr:to>
    <cdr:sp macro="" textlink="">
      <cdr:nvSpPr>
        <cdr:cNvPr id="4" name="TextBox 3">
          <a:extLst xmlns:a="http://schemas.openxmlformats.org/drawingml/2006/main">
            <a:ext uri="{FF2B5EF4-FFF2-40B4-BE49-F238E27FC236}">
              <a16:creationId xmlns:a16="http://schemas.microsoft.com/office/drawing/2014/main" id="{3D32DD2B-B65C-EA08-4A01-9A6DA0DB114F}"/>
            </a:ext>
          </a:extLst>
        </cdr:cNvPr>
        <cdr:cNvSpPr txBox="1"/>
      </cdr:nvSpPr>
      <cdr:spPr>
        <a:xfrm xmlns:a="http://schemas.openxmlformats.org/drawingml/2006/main">
          <a:off x="6301740" y="2127434"/>
          <a:ext cx="2049781" cy="326206"/>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tx1"/>
              </a:solidFill>
              <a:effectLst/>
              <a:latin typeface="Calibri Light" panose="020F0302020204030204" pitchFamily="34" charset="0"/>
              <a:ea typeface="Calibri Light" panose="020F0302020204030204" pitchFamily="34" charset="0"/>
              <a:cs typeface="Calibri Light" panose="020F0302020204030204" pitchFamily="34" charset="0"/>
            </a:rPr>
            <a:t>Panzerhaubitze 2000 - 10</a:t>
          </a:r>
        </a:p>
        <a:p xmlns:a="http://schemas.openxmlformats.org/drawingml/2006/main">
          <a:endParaRPr lang="en-US" sz="1100">
            <a:solidFill>
              <a:schemeClr val="dk1"/>
            </a:solidFill>
            <a:effectLst/>
            <a:latin typeface="Times New Roman" panose="02020603050405020304" pitchFamily="18" charset="0"/>
            <a:ea typeface="+mn-ea"/>
            <a:cs typeface="Times New Roman" panose="02020603050405020304" pitchFamily="18" charset="0"/>
          </a:endParaRPr>
        </a:p>
      </cdr:txBody>
    </cdr:sp>
  </cdr:relSizeAnchor>
  <cdr:relSizeAnchor xmlns:cdr="http://schemas.openxmlformats.org/drawingml/2006/chartDrawing">
    <cdr:from>
      <cdr:x>0.7509</cdr:x>
      <cdr:y>0.22003</cdr:y>
    </cdr:from>
    <cdr:to>
      <cdr:x>0.92543</cdr:x>
      <cdr:y>0.26984</cdr:y>
    </cdr:to>
    <cdr:sp macro="" textlink="">
      <cdr:nvSpPr>
        <cdr:cNvPr id="7" name="TextBox 9">
          <a:extLst xmlns:a="http://schemas.openxmlformats.org/drawingml/2006/main">
            <a:ext uri="{FF2B5EF4-FFF2-40B4-BE49-F238E27FC236}">
              <a16:creationId xmlns:a16="http://schemas.microsoft.com/office/drawing/2014/main" id="{96FEC738-D3C5-3AC3-5FF6-73A753E84309}"/>
            </a:ext>
          </a:extLst>
        </cdr:cNvPr>
        <cdr:cNvSpPr txBox="1"/>
      </cdr:nvSpPr>
      <cdr:spPr>
        <a:xfrm xmlns:a="http://schemas.openxmlformats.org/drawingml/2006/main">
          <a:off x="8977594" y="1408368"/>
          <a:ext cx="2086645" cy="318824"/>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Panzerhaubitze 2000 - 12</a:t>
          </a:r>
          <a:endParaRPr lang="en-US" sz="14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p>
      </cdr:txBody>
    </cdr:sp>
  </cdr:relSizeAnchor>
</c:userShapes>
</file>

<file path=xl/drawings/drawing34.xml><?xml version="1.0" encoding="utf-8"?>
<xdr:wsDr xmlns:xdr="http://schemas.openxmlformats.org/drawingml/2006/spreadsheetDrawing" xmlns:a="http://schemas.openxmlformats.org/drawingml/2006/main">
  <xdr:twoCellAnchor>
    <xdr:from>
      <xdr:col>7</xdr:col>
      <xdr:colOff>0</xdr:colOff>
      <xdr:row>5</xdr:row>
      <xdr:rowOff>0</xdr:rowOff>
    </xdr:from>
    <xdr:to>
      <xdr:col>25</xdr:col>
      <xdr:colOff>0</xdr:colOff>
      <xdr:row>36</xdr:row>
      <xdr:rowOff>190500</xdr:rowOff>
    </xdr:to>
    <xdr:graphicFrame macro="">
      <xdr:nvGraphicFramePr>
        <xdr:cNvPr id="2" name="Chart 1">
          <a:extLst>
            <a:ext uri="{FF2B5EF4-FFF2-40B4-BE49-F238E27FC236}">
              <a16:creationId xmlns:a16="http://schemas.microsoft.com/office/drawing/2014/main" id="{E973C900-A9E6-4708-9EDF-63BE465039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5.xml><?xml version="1.0" encoding="utf-8"?>
<c:userShapes xmlns:c="http://schemas.openxmlformats.org/drawingml/2006/chart">
  <cdr:relSizeAnchor xmlns:cdr="http://schemas.openxmlformats.org/drawingml/2006/chartDrawing">
    <cdr:from>
      <cdr:x>0.05024</cdr:x>
      <cdr:y>0.0997</cdr:y>
    </cdr:from>
    <cdr:to>
      <cdr:x>0.17361</cdr:x>
      <cdr:y>0.1881</cdr:y>
    </cdr:to>
    <cdr:sp macro="" textlink="">
      <cdr:nvSpPr>
        <cdr:cNvPr id="3" name="TextBox 19">
          <a:extLst xmlns:a="http://schemas.openxmlformats.org/drawingml/2006/main">
            <a:ext uri="{FF2B5EF4-FFF2-40B4-BE49-F238E27FC236}">
              <a16:creationId xmlns:a16="http://schemas.microsoft.com/office/drawing/2014/main" id="{A2DED420-FAA1-BDF2-3E41-D437B3BA1BFF}"/>
            </a:ext>
          </a:extLst>
        </cdr:cNvPr>
        <cdr:cNvSpPr txBox="1"/>
      </cdr:nvSpPr>
      <cdr:spPr>
        <a:xfrm xmlns:a="http://schemas.openxmlformats.org/drawingml/2006/main">
          <a:off x="606435" y="638190"/>
          <a:ext cx="1489065" cy="56577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600">
              <a:latin typeface="Calibri Light" panose="020F0302020204030204" pitchFamily="34" charset="0"/>
              <a:ea typeface="Calibri Light" panose="020F0302020204030204" pitchFamily="34" charset="0"/>
              <a:cs typeface="Calibri Light" panose="020F0302020204030204" pitchFamily="34" charset="0"/>
            </a:rPr>
            <a:t>billion Euros</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600">
              <a:latin typeface="Calibri Light" panose="020F0302020204030204" pitchFamily="34" charset="0"/>
              <a:ea typeface="Calibri Light" panose="020F0302020204030204" pitchFamily="34" charset="0"/>
              <a:cs typeface="Calibri Light" panose="020F0302020204030204" pitchFamily="34" charset="0"/>
            </a:rPr>
            <a:t>Total: </a:t>
          </a:r>
          <a:r>
            <a:rPr lang="en-US" sz="16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€3.6 bn</a:t>
          </a:r>
          <a:endParaRPr lang="en-US" sz="16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r>
            <a:rPr lang="en-US" sz="1100">
              <a:latin typeface="Times New Roman" panose="02020603050405020304" pitchFamily="18" charset="0"/>
              <a:cs typeface="Times New Roman" panose="02020603050405020304" pitchFamily="18" charset="0"/>
            </a:rPr>
            <a:t> </a:t>
          </a: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0.76768</cdr:x>
      <cdr:y>0.64076</cdr:y>
    </cdr:from>
    <cdr:to>
      <cdr:x>0.9072</cdr:x>
      <cdr:y>0.7131</cdr:y>
    </cdr:to>
    <cdr:sp macro="" textlink="">
      <cdr:nvSpPr>
        <cdr:cNvPr id="19" name="TextBox 9">
          <a:extLst xmlns:a="http://schemas.openxmlformats.org/drawingml/2006/main">
            <a:ext uri="{FF2B5EF4-FFF2-40B4-BE49-F238E27FC236}">
              <a16:creationId xmlns:a16="http://schemas.microsoft.com/office/drawing/2014/main" id="{D9DAF369-FD2E-45C9-97AB-917F35607EAB}"/>
            </a:ext>
          </a:extLst>
        </cdr:cNvPr>
        <cdr:cNvSpPr txBox="1"/>
      </cdr:nvSpPr>
      <cdr:spPr>
        <a:xfrm xmlns:a="http://schemas.openxmlformats.org/drawingml/2006/main">
          <a:off x="9265920" y="4101360"/>
          <a:ext cx="1684020" cy="463019"/>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Leopard 2 (training)</a:t>
          </a:r>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€0.19 bn</a:t>
          </a:r>
          <a:endParaRPr lang="en-US" sz="14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p>
      </cdr:txBody>
    </cdr:sp>
  </cdr:relSizeAnchor>
  <cdr:relSizeAnchor xmlns:cdr="http://schemas.openxmlformats.org/drawingml/2006/chartDrawing">
    <cdr:from>
      <cdr:x>0.80177</cdr:x>
      <cdr:y>0.725</cdr:y>
    </cdr:from>
    <cdr:to>
      <cdr:x>0.82925</cdr:x>
      <cdr:y>0.79981</cdr:y>
    </cdr:to>
    <cdr:cxnSp macro="">
      <cdr:nvCxnSpPr>
        <cdr:cNvPr id="20" name="Straight Arrow Connector 19">
          <a:extLst xmlns:a="http://schemas.openxmlformats.org/drawingml/2006/main">
            <a:ext uri="{FF2B5EF4-FFF2-40B4-BE49-F238E27FC236}">
              <a16:creationId xmlns:a16="http://schemas.microsoft.com/office/drawing/2014/main" id="{3479F456-9CA4-4669-8D3B-6D43AAB04EFD}"/>
            </a:ext>
          </a:extLst>
        </cdr:cNvPr>
        <cdr:cNvCxnSpPr/>
      </cdr:nvCxnSpPr>
      <cdr:spPr>
        <a:xfrm xmlns:a="http://schemas.openxmlformats.org/drawingml/2006/main">
          <a:off x="9677400" y="4640580"/>
          <a:ext cx="331682" cy="478813"/>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0.58333</cdr:x>
      <cdr:y>0.6327</cdr:y>
    </cdr:from>
    <cdr:to>
      <cdr:x>0.74621</cdr:x>
      <cdr:y>0.68181</cdr:y>
    </cdr:to>
    <cdr:sp macro="" textlink="">
      <cdr:nvSpPr>
        <cdr:cNvPr id="21" name="TextBox 3">
          <a:extLst xmlns:a="http://schemas.openxmlformats.org/drawingml/2006/main">
            <a:ext uri="{FF2B5EF4-FFF2-40B4-BE49-F238E27FC236}">
              <a16:creationId xmlns:a16="http://schemas.microsoft.com/office/drawing/2014/main" id="{C0F62E8D-E054-CECB-EBDB-C1786EB56E1E}"/>
            </a:ext>
          </a:extLst>
        </cdr:cNvPr>
        <cdr:cNvSpPr txBox="1"/>
      </cdr:nvSpPr>
      <cdr:spPr>
        <a:xfrm xmlns:a="http://schemas.openxmlformats.org/drawingml/2006/main">
          <a:off x="7040880" y="4049801"/>
          <a:ext cx="1965950" cy="314344"/>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Leopard 2 A8 - €0.53 bn</a:t>
          </a:r>
        </a:p>
        <a:p xmlns:a="http://schemas.openxmlformats.org/drawingml/2006/main">
          <a:endParaRPr lang="en-US" sz="1100">
            <a:solidFill>
              <a:schemeClr val="dk1"/>
            </a:solidFill>
            <a:effectLst/>
            <a:latin typeface="Times New Roman" panose="02020603050405020304" pitchFamily="18" charset="0"/>
            <a:ea typeface="+mn-ea"/>
            <a:cs typeface="Times New Roman" panose="02020603050405020304" pitchFamily="18" charset="0"/>
          </a:endParaRPr>
        </a:p>
      </cdr:txBody>
    </cdr:sp>
  </cdr:relSizeAnchor>
  <cdr:relSizeAnchor xmlns:cdr="http://schemas.openxmlformats.org/drawingml/2006/chartDrawing">
    <cdr:from>
      <cdr:x>0.70198</cdr:x>
      <cdr:y>0.6792</cdr:y>
    </cdr:from>
    <cdr:to>
      <cdr:x>0.72845</cdr:x>
      <cdr:y>0.77938</cdr:y>
    </cdr:to>
    <cdr:cxnSp macro="">
      <cdr:nvCxnSpPr>
        <cdr:cNvPr id="27" name="Straight Arrow Connector 26">
          <a:extLst xmlns:a="http://schemas.openxmlformats.org/drawingml/2006/main">
            <a:ext uri="{FF2B5EF4-FFF2-40B4-BE49-F238E27FC236}">
              <a16:creationId xmlns:a16="http://schemas.microsoft.com/office/drawing/2014/main" id="{7A710D46-E7C4-9479-BD3C-FE2886225255}"/>
            </a:ext>
          </a:extLst>
        </cdr:cNvPr>
        <cdr:cNvCxnSpPr/>
      </cdr:nvCxnSpPr>
      <cdr:spPr>
        <a:xfrm xmlns:a="http://schemas.openxmlformats.org/drawingml/2006/main">
          <a:off x="8472951" y="4347396"/>
          <a:ext cx="319495" cy="641232"/>
        </a:xfrm>
        <a:prstGeom xmlns:a="http://schemas.openxmlformats.org/drawingml/2006/main" prst="straightConnector1">
          <a:avLst/>
        </a:prstGeom>
        <a:ln xmlns:a="http://schemas.openxmlformats.org/drawingml/2006/main">
          <a:tailEnd type="triangle"/>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0.81354</cdr:x>
      <cdr:y>0.22026</cdr:y>
    </cdr:from>
    <cdr:to>
      <cdr:x>0.96662</cdr:x>
      <cdr:y>0.25357</cdr:y>
    </cdr:to>
    <cdr:sp macro="" textlink="">
      <cdr:nvSpPr>
        <cdr:cNvPr id="4" name="TextBox 3">
          <a:extLst xmlns:a="http://schemas.openxmlformats.org/drawingml/2006/main">
            <a:ext uri="{FF2B5EF4-FFF2-40B4-BE49-F238E27FC236}">
              <a16:creationId xmlns:a16="http://schemas.microsoft.com/office/drawing/2014/main" id="{0FC3B218-045B-CDEF-1DB7-913D986EEF0A}"/>
            </a:ext>
          </a:extLst>
        </cdr:cNvPr>
        <cdr:cNvSpPr txBox="1"/>
      </cdr:nvSpPr>
      <cdr:spPr>
        <a:xfrm xmlns:a="http://schemas.openxmlformats.org/drawingml/2006/main">
          <a:off x="9707880" y="1409841"/>
          <a:ext cx="1826719" cy="213220"/>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Leopard 2 A8 - €2.9 bn</a:t>
          </a:r>
        </a:p>
        <a:p xmlns:a="http://schemas.openxmlformats.org/drawingml/2006/main">
          <a:endParaRPr lang="en-US" sz="1100">
            <a:solidFill>
              <a:schemeClr val="dk1"/>
            </a:solidFill>
            <a:effectLst/>
            <a:latin typeface="Times New Roman" panose="02020603050405020304" pitchFamily="18" charset="0"/>
            <a:ea typeface="+mn-ea"/>
            <a:cs typeface="Times New Roman" panose="02020603050405020304" pitchFamily="18" charset="0"/>
          </a:endParaRPr>
        </a:p>
      </cdr:txBody>
    </cdr:sp>
  </cdr:relSizeAnchor>
  <cdr:relSizeAnchor xmlns:cdr="http://schemas.openxmlformats.org/drawingml/2006/chartDrawing">
    <cdr:from>
      <cdr:x>0.91998</cdr:x>
      <cdr:y>0.26997</cdr:y>
    </cdr:from>
    <cdr:to>
      <cdr:x>0.96137</cdr:x>
      <cdr:y>0.39355</cdr:y>
    </cdr:to>
    <cdr:cxnSp macro="">
      <cdr:nvCxnSpPr>
        <cdr:cNvPr id="5" name="Straight Arrow Connector 4">
          <a:extLst xmlns:a="http://schemas.openxmlformats.org/drawingml/2006/main">
            <a:ext uri="{FF2B5EF4-FFF2-40B4-BE49-F238E27FC236}">
              <a16:creationId xmlns:a16="http://schemas.microsoft.com/office/drawing/2014/main" id="{6123BB95-C6ED-AB01-B2FF-E566C6D855D1}"/>
            </a:ext>
          </a:extLst>
        </cdr:cNvPr>
        <cdr:cNvCxnSpPr/>
      </cdr:nvCxnSpPr>
      <cdr:spPr>
        <a:xfrm xmlns:a="http://schemas.openxmlformats.org/drawingml/2006/main">
          <a:off x="11104238" y="1728018"/>
          <a:ext cx="499581" cy="791011"/>
        </a:xfrm>
        <a:prstGeom xmlns:a="http://schemas.openxmlformats.org/drawingml/2006/main" prst="straightConnector1">
          <a:avLst/>
        </a:prstGeom>
        <a:ln xmlns:a="http://schemas.openxmlformats.org/drawingml/2006/main">
          <a:tailEnd type="triangle"/>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36.xml><?xml version="1.0" encoding="utf-8"?>
<xdr:wsDr xmlns:xdr="http://schemas.openxmlformats.org/drawingml/2006/spreadsheetDrawing" xmlns:a="http://schemas.openxmlformats.org/drawingml/2006/main">
  <xdr:twoCellAnchor>
    <xdr:from>
      <xdr:col>7</xdr:col>
      <xdr:colOff>0</xdr:colOff>
      <xdr:row>5</xdr:row>
      <xdr:rowOff>0</xdr:rowOff>
    </xdr:from>
    <xdr:to>
      <xdr:col>24</xdr:col>
      <xdr:colOff>662940</xdr:colOff>
      <xdr:row>37</xdr:row>
      <xdr:rowOff>0</xdr:rowOff>
    </xdr:to>
    <xdr:graphicFrame macro="">
      <xdr:nvGraphicFramePr>
        <xdr:cNvPr id="2" name="Chart 1">
          <a:extLst>
            <a:ext uri="{FF2B5EF4-FFF2-40B4-BE49-F238E27FC236}">
              <a16:creationId xmlns:a16="http://schemas.microsoft.com/office/drawing/2014/main" id="{596851B5-5F53-42CA-BDC5-EBB11D1200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7.xml><?xml version="1.0" encoding="utf-8"?>
<c:userShapes xmlns:c="http://schemas.openxmlformats.org/drawingml/2006/chart">
  <cdr:relSizeAnchor xmlns:cdr="http://schemas.openxmlformats.org/drawingml/2006/chartDrawing">
    <cdr:from>
      <cdr:x>0.04203</cdr:x>
      <cdr:y>0.10937</cdr:y>
    </cdr:from>
    <cdr:to>
      <cdr:x>0.15477</cdr:x>
      <cdr:y>0.20571</cdr:y>
    </cdr:to>
    <cdr:sp macro="" textlink="">
      <cdr:nvSpPr>
        <cdr:cNvPr id="3" name="TextBox 19">
          <a:extLst xmlns:a="http://schemas.openxmlformats.org/drawingml/2006/main">
            <a:ext uri="{FF2B5EF4-FFF2-40B4-BE49-F238E27FC236}">
              <a16:creationId xmlns:a16="http://schemas.microsoft.com/office/drawing/2014/main" id="{A2DED420-FAA1-BDF2-3E41-D437B3BA1BFF}"/>
            </a:ext>
          </a:extLst>
        </cdr:cNvPr>
        <cdr:cNvSpPr txBox="1"/>
      </cdr:nvSpPr>
      <cdr:spPr>
        <a:xfrm xmlns:a="http://schemas.openxmlformats.org/drawingml/2006/main">
          <a:off x="506992" y="700909"/>
          <a:ext cx="1359908" cy="617351"/>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600">
              <a:latin typeface="Calibri Light" panose="020F0302020204030204" pitchFamily="34" charset="0"/>
              <a:ea typeface="Calibri Light" panose="020F0302020204030204" pitchFamily="34" charset="0"/>
              <a:cs typeface="Calibri Light" panose="020F0302020204030204" pitchFamily="34" charset="0"/>
            </a:rPr>
            <a:t>units</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600">
              <a:latin typeface="Calibri Light" panose="020F0302020204030204" pitchFamily="34" charset="0"/>
              <a:ea typeface="Calibri Light" panose="020F0302020204030204" pitchFamily="34" charset="0"/>
              <a:cs typeface="Calibri Light" panose="020F0302020204030204" pitchFamily="34" charset="0"/>
            </a:rPr>
            <a:t>Total: 123</a:t>
          </a:r>
          <a:endParaRPr lang="en-US" sz="16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r>
            <a:rPr lang="en-US" sz="1100">
              <a:latin typeface="Times New Roman" panose="02020603050405020304" pitchFamily="18" charset="0"/>
              <a:cs typeface="Times New Roman" panose="02020603050405020304" pitchFamily="18" charset="0"/>
            </a:rPr>
            <a:t> </a:t>
          </a: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0.68497</cdr:x>
      <cdr:y>0.6756</cdr:y>
    </cdr:from>
    <cdr:to>
      <cdr:x>0.7253</cdr:x>
      <cdr:y>0.77578</cdr:y>
    </cdr:to>
    <cdr:cxnSp macro="">
      <cdr:nvCxnSpPr>
        <cdr:cNvPr id="27" name="Straight Arrow Connector 26">
          <a:extLst xmlns:a="http://schemas.openxmlformats.org/drawingml/2006/main">
            <a:ext uri="{FF2B5EF4-FFF2-40B4-BE49-F238E27FC236}">
              <a16:creationId xmlns:a16="http://schemas.microsoft.com/office/drawing/2014/main" id="{7A710D46-E7C4-9479-BD3C-FE2886225255}"/>
            </a:ext>
          </a:extLst>
        </cdr:cNvPr>
        <cdr:cNvCxnSpPr/>
      </cdr:nvCxnSpPr>
      <cdr:spPr>
        <a:xfrm xmlns:a="http://schemas.openxmlformats.org/drawingml/2006/main">
          <a:off x="8262388" y="4329519"/>
          <a:ext cx="486479" cy="641996"/>
        </a:xfrm>
        <a:prstGeom xmlns:a="http://schemas.openxmlformats.org/drawingml/2006/main" prst="straightConnector1">
          <a:avLst/>
        </a:prstGeom>
        <a:ln xmlns:a="http://schemas.openxmlformats.org/drawingml/2006/main">
          <a:tailEnd type="triangle"/>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0.60834</cdr:x>
      <cdr:y>0.63081</cdr:y>
    </cdr:from>
    <cdr:to>
      <cdr:x>0.74485</cdr:x>
      <cdr:y>0.6742</cdr:y>
    </cdr:to>
    <cdr:sp macro="" textlink="">
      <cdr:nvSpPr>
        <cdr:cNvPr id="6" name="TextBox 3">
          <a:extLst xmlns:a="http://schemas.openxmlformats.org/drawingml/2006/main">
            <a:ext uri="{FF2B5EF4-FFF2-40B4-BE49-F238E27FC236}">
              <a16:creationId xmlns:a16="http://schemas.microsoft.com/office/drawing/2014/main" id="{FC9B6EF3-1273-E6C4-AC7A-97B932290C96}"/>
            </a:ext>
          </a:extLst>
        </cdr:cNvPr>
        <cdr:cNvSpPr txBox="1"/>
      </cdr:nvSpPr>
      <cdr:spPr>
        <a:xfrm xmlns:a="http://schemas.openxmlformats.org/drawingml/2006/main">
          <a:off x="7338060" y="4042486"/>
          <a:ext cx="1646687" cy="278061"/>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Leopard 2 A8 - 18</a:t>
          </a:r>
        </a:p>
        <a:p xmlns:a="http://schemas.openxmlformats.org/drawingml/2006/main">
          <a:endParaRPr lang="en-US" sz="1100">
            <a:solidFill>
              <a:schemeClr val="dk1"/>
            </a:solidFill>
            <a:effectLst/>
            <a:latin typeface="Times New Roman" panose="02020603050405020304" pitchFamily="18" charset="0"/>
            <a:ea typeface="+mn-ea"/>
            <a:cs typeface="Times New Roman" panose="02020603050405020304" pitchFamily="18" charset="0"/>
          </a:endParaRPr>
        </a:p>
      </cdr:txBody>
    </cdr:sp>
  </cdr:relSizeAnchor>
  <cdr:relSizeAnchor xmlns:cdr="http://schemas.openxmlformats.org/drawingml/2006/chartDrawing">
    <cdr:from>
      <cdr:x>0.83512</cdr:x>
      <cdr:y>0.12278</cdr:y>
    </cdr:from>
    <cdr:to>
      <cdr:x>0.96601</cdr:x>
      <cdr:y>0.16171</cdr:y>
    </cdr:to>
    <cdr:sp macro="" textlink="">
      <cdr:nvSpPr>
        <cdr:cNvPr id="4" name="TextBox 3">
          <a:extLst xmlns:a="http://schemas.openxmlformats.org/drawingml/2006/main">
            <a:ext uri="{FF2B5EF4-FFF2-40B4-BE49-F238E27FC236}">
              <a16:creationId xmlns:a16="http://schemas.microsoft.com/office/drawing/2014/main" id="{C4DE20DA-3672-47F7-B853-A0074FE02680}"/>
            </a:ext>
          </a:extLst>
        </cdr:cNvPr>
        <cdr:cNvSpPr txBox="1"/>
      </cdr:nvSpPr>
      <cdr:spPr>
        <a:xfrm xmlns:a="http://schemas.openxmlformats.org/drawingml/2006/main">
          <a:off x="10073641" y="786830"/>
          <a:ext cx="1578876" cy="249490"/>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Leopard 2 A8 - 105</a:t>
          </a:r>
        </a:p>
        <a:p xmlns:a="http://schemas.openxmlformats.org/drawingml/2006/main">
          <a:endParaRPr lang="en-US" sz="1100">
            <a:solidFill>
              <a:schemeClr val="dk1"/>
            </a:solidFill>
            <a:effectLst/>
            <a:latin typeface="Times New Roman" panose="02020603050405020304" pitchFamily="18" charset="0"/>
            <a:ea typeface="+mn-ea"/>
            <a:cs typeface="Times New Roman" panose="02020603050405020304" pitchFamily="18" charset="0"/>
          </a:endParaRPr>
        </a:p>
      </cdr:txBody>
    </cdr:sp>
  </cdr:relSizeAnchor>
  <cdr:relSizeAnchor xmlns:cdr="http://schemas.openxmlformats.org/drawingml/2006/chartDrawing">
    <cdr:from>
      <cdr:x>0.91472</cdr:x>
      <cdr:y>0.16765</cdr:y>
    </cdr:from>
    <cdr:to>
      <cdr:x>0.96084</cdr:x>
      <cdr:y>0.27229</cdr:y>
    </cdr:to>
    <cdr:cxnSp macro="">
      <cdr:nvCxnSpPr>
        <cdr:cNvPr id="5" name="Straight Arrow Connector 4">
          <a:extLst xmlns:a="http://schemas.openxmlformats.org/drawingml/2006/main">
            <a:ext uri="{FF2B5EF4-FFF2-40B4-BE49-F238E27FC236}">
              <a16:creationId xmlns:a16="http://schemas.microsoft.com/office/drawing/2014/main" id="{815909D2-03EB-4D03-6E4A-B2E11EE73AEF}"/>
            </a:ext>
          </a:extLst>
        </cdr:cNvPr>
        <cdr:cNvCxnSpPr/>
      </cdr:nvCxnSpPr>
      <cdr:spPr>
        <a:xfrm xmlns:a="http://schemas.openxmlformats.org/drawingml/2006/main">
          <a:off x="11033718" y="1074398"/>
          <a:ext cx="556321" cy="670577"/>
        </a:xfrm>
        <a:prstGeom xmlns:a="http://schemas.openxmlformats.org/drawingml/2006/main" prst="straightConnector1">
          <a:avLst/>
        </a:prstGeom>
        <a:ln xmlns:a="http://schemas.openxmlformats.org/drawingml/2006/main">
          <a:tailEnd type="triangle"/>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38.xml><?xml version="1.0" encoding="utf-8"?>
<xdr:wsDr xmlns:xdr="http://schemas.openxmlformats.org/drawingml/2006/spreadsheetDrawing" xmlns:a="http://schemas.openxmlformats.org/drawingml/2006/main">
  <xdr:twoCellAnchor>
    <xdr:from>
      <xdr:col>7</xdr:col>
      <xdr:colOff>0</xdr:colOff>
      <xdr:row>5</xdr:row>
      <xdr:rowOff>7620</xdr:rowOff>
    </xdr:from>
    <xdr:to>
      <xdr:col>24</xdr:col>
      <xdr:colOff>662940</xdr:colOff>
      <xdr:row>37</xdr:row>
      <xdr:rowOff>7620</xdr:rowOff>
    </xdr:to>
    <xdr:graphicFrame macro="">
      <xdr:nvGraphicFramePr>
        <xdr:cNvPr id="2" name="Chart 1">
          <a:extLst>
            <a:ext uri="{FF2B5EF4-FFF2-40B4-BE49-F238E27FC236}">
              <a16:creationId xmlns:a16="http://schemas.microsoft.com/office/drawing/2014/main" id="{7E58356A-54E4-4603-BC91-8F12ADD96D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9.xml><?xml version="1.0" encoding="utf-8"?>
<c:userShapes xmlns:c="http://schemas.openxmlformats.org/drawingml/2006/chart">
  <cdr:relSizeAnchor xmlns:cdr="http://schemas.openxmlformats.org/drawingml/2006/chartDrawing">
    <cdr:from>
      <cdr:x>0.04836</cdr:x>
      <cdr:y>0.10209</cdr:y>
    </cdr:from>
    <cdr:to>
      <cdr:x>0.17309</cdr:x>
      <cdr:y>0.18668</cdr:y>
    </cdr:to>
    <cdr:sp macro="" textlink="">
      <cdr:nvSpPr>
        <cdr:cNvPr id="3" name="TextBox 19">
          <a:extLst xmlns:a="http://schemas.openxmlformats.org/drawingml/2006/main">
            <a:ext uri="{FF2B5EF4-FFF2-40B4-BE49-F238E27FC236}">
              <a16:creationId xmlns:a16="http://schemas.microsoft.com/office/drawing/2014/main" id="{A2DED420-FAA1-BDF2-3E41-D437B3BA1BFF}"/>
            </a:ext>
          </a:extLst>
        </cdr:cNvPr>
        <cdr:cNvSpPr txBox="1"/>
      </cdr:nvSpPr>
      <cdr:spPr>
        <a:xfrm xmlns:a="http://schemas.openxmlformats.org/drawingml/2006/main">
          <a:off x="583395" y="654250"/>
          <a:ext cx="1504485" cy="54209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600">
              <a:solidFill>
                <a:schemeClr val="tx1"/>
              </a:solidFill>
              <a:latin typeface="Calibri Light" panose="020F0302020204030204" pitchFamily="34" charset="0"/>
              <a:ea typeface="Calibri Light" panose="020F0302020204030204" pitchFamily="34" charset="0"/>
              <a:cs typeface="Calibri Light" panose="020F0302020204030204" pitchFamily="34" charset="0"/>
            </a:rPr>
            <a:t>billion Euros</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600">
              <a:solidFill>
                <a:schemeClr val="tx1"/>
              </a:solidFill>
              <a:latin typeface="Calibri Light" panose="020F0302020204030204" pitchFamily="34" charset="0"/>
              <a:ea typeface="Calibri Light" panose="020F0302020204030204" pitchFamily="34" charset="0"/>
              <a:cs typeface="Calibri Light" panose="020F0302020204030204" pitchFamily="34" charset="0"/>
            </a:rPr>
            <a:t>Total: </a:t>
          </a:r>
          <a:r>
            <a:rPr lang="en-US" sz="1600">
              <a:solidFill>
                <a:schemeClr val="tx1"/>
              </a:solidFill>
              <a:effectLst/>
              <a:latin typeface="Calibri Light" panose="020F0302020204030204" pitchFamily="34" charset="0"/>
              <a:ea typeface="Calibri Light" panose="020F0302020204030204" pitchFamily="34" charset="0"/>
              <a:cs typeface="Calibri Light" panose="020F0302020204030204" pitchFamily="34" charset="0"/>
            </a:rPr>
            <a:t>€6.1 bn</a:t>
          </a:r>
        </a:p>
        <a:p xmlns:a="http://schemas.openxmlformats.org/drawingml/2006/main">
          <a:r>
            <a:rPr lang="en-US" sz="1100">
              <a:latin typeface="Times New Roman" panose="02020603050405020304" pitchFamily="18" charset="0"/>
              <a:cs typeface="Times New Roman" panose="02020603050405020304" pitchFamily="18" charset="0"/>
            </a:rPr>
            <a:t> </a:t>
          </a: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0.69615</cdr:x>
      <cdr:y>0.32249</cdr:y>
    </cdr:from>
    <cdr:to>
      <cdr:x>0.84504</cdr:x>
      <cdr:y>0.36266</cdr:y>
    </cdr:to>
    <cdr:sp macro="" textlink="">
      <cdr:nvSpPr>
        <cdr:cNvPr id="19" name="TextBox 9">
          <a:extLst xmlns:a="http://schemas.openxmlformats.org/drawingml/2006/main">
            <a:ext uri="{FF2B5EF4-FFF2-40B4-BE49-F238E27FC236}">
              <a16:creationId xmlns:a16="http://schemas.microsoft.com/office/drawing/2014/main" id="{D9DAF369-FD2E-45C9-97AB-917F35607EAB}"/>
            </a:ext>
          </a:extLst>
        </cdr:cNvPr>
        <cdr:cNvSpPr txBox="1"/>
      </cdr:nvSpPr>
      <cdr:spPr>
        <a:xfrm xmlns:a="http://schemas.openxmlformats.org/drawingml/2006/main">
          <a:off x="8397240" y="2066663"/>
          <a:ext cx="1796079" cy="257427"/>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Patriot missile </a:t>
          </a:r>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€3 bn</a:t>
          </a:r>
          <a:endParaRPr lang="en-US" sz="14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p>
      </cdr:txBody>
    </cdr:sp>
  </cdr:relSizeAnchor>
  <cdr:relSizeAnchor xmlns:cdr="http://schemas.openxmlformats.org/drawingml/2006/chartDrawing">
    <cdr:from>
      <cdr:x>0.81351</cdr:x>
      <cdr:y>0.37157</cdr:y>
    </cdr:from>
    <cdr:to>
      <cdr:x>0.84502</cdr:x>
      <cdr:y>0.47408</cdr:y>
    </cdr:to>
    <cdr:cxnSp macro="">
      <cdr:nvCxnSpPr>
        <cdr:cNvPr id="27" name="Straight Arrow Connector 26">
          <a:extLst xmlns:a="http://schemas.openxmlformats.org/drawingml/2006/main">
            <a:ext uri="{FF2B5EF4-FFF2-40B4-BE49-F238E27FC236}">
              <a16:creationId xmlns:a16="http://schemas.microsoft.com/office/drawing/2014/main" id="{7A710D46-E7C4-9479-BD3C-FE2886225255}"/>
            </a:ext>
          </a:extLst>
        </cdr:cNvPr>
        <cdr:cNvCxnSpPr/>
      </cdr:nvCxnSpPr>
      <cdr:spPr>
        <a:xfrm xmlns:a="http://schemas.openxmlformats.org/drawingml/2006/main">
          <a:off x="9812980" y="2381165"/>
          <a:ext cx="380088" cy="656927"/>
        </a:xfrm>
        <a:prstGeom xmlns:a="http://schemas.openxmlformats.org/drawingml/2006/main" prst="straightConnector1">
          <a:avLst/>
        </a:prstGeom>
        <a:ln xmlns:a="http://schemas.openxmlformats.org/drawingml/2006/main">
          <a:tailEnd type="triangle"/>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0.81351</cdr:x>
      <cdr:y>0.23276</cdr:y>
    </cdr:from>
    <cdr:to>
      <cdr:x>0.84438</cdr:x>
      <cdr:y>0.31852</cdr:y>
    </cdr:to>
    <cdr:cxnSp macro="">
      <cdr:nvCxnSpPr>
        <cdr:cNvPr id="4" name="Straight Arrow Connector 3">
          <a:extLst xmlns:a="http://schemas.openxmlformats.org/drawingml/2006/main">
            <a:ext uri="{FF2B5EF4-FFF2-40B4-BE49-F238E27FC236}">
              <a16:creationId xmlns:a16="http://schemas.microsoft.com/office/drawing/2014/main" id="{4A85222D-B104-B6E0-928F-E82AD90127EC}"/>
            </a:ext>
          </a:extLst>
        </cdr:cNvPr>
        <cdr:cNvCxnSpPr/>
      </cdr:nvCxnSpPr>
      <cdr:spPr>
        <a:xfrm xmlns:a="http://schemas.openxmlformats.org/drawingml/2006/main" flipV="1">
          <a:off x="9812959" y="1491654"/>
          <a:ext cx="372368" cy="549586"/>
        </a:xfrm>
        <a:prstGeom xmlns:a="http://schemas.openxmlformats.org/drawingml/2006/main" prst="straightConnector1">
          <a:avLst/>
        </a:prstGeom>
        <a:ln xmlns:a="http://schemas.openxmlformats.org/drawingml/2006/main">
          <a:tailEnd type="triangle"/>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4.xml><?xml version="1.0" encoding="utf-8"?>
<c:userShapes xmlns:c="http://schemas.openxmlformats.org/drawingml/2006/chart">
  <cdr:relSizeAnchor xmlns:cdr="http://schemas.openxmlformats.org/drawingml/2006/chartDrawing">
    <cdr:from>
      <cdr:x>0.0502</cdr:x>
      <cdr:y>0.09278</cdr:y>
    </cdr:from>
    <cdr:to>
      <cdr:x>0.19975</cdr:x>
      <cdr:y>0.17878</cdr:y>
    </cdr:to>
    <cdr:sp macro="" textlink="">
      <cdr:nvSpPr>
        <cdr:cNvPr id="3" name="TextBox 19">
          <a:extLst xmlns:a="http://schemas.openxmlformats.org/drawingml/2006/main">
            <a:ext uri="{FF2B5EF4-FFF2-40B4-BE49-F238E27FC236}">
              <a16:creationId xmlns:a16="http://schemas.microsoft.com/office/drawing/2014/main" id="{A2DED420-FAA1-BDF2-3E41-D437B3BA1BFF}"/>
            </a:ext>
          </a:extLst>
        </cdr:cNvPr>
        <cdr:cNvSpPr txBox="1"/>
      </cdr:nvSpPr>
      <cdr:spPr>
        <a:xfrm xmlns:a="http://schemas.openxmlformats.org/drawingml/2006/main">
          <a:off x="607087" y="593166"/>
          <a:ext cx="1808453" cy="549834"/>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600">
              <a:latin typeface="Calibri Light" panose="020F0302020204030204" pitchFamily="34" charset="0"/>
              <a:ea typeface="Calibri Light" panose="020F0302020204030204" pitchFamily="34" charset="0"/>
              <a:cs typeface="Calibri Light" panose="020F0302020204030204" pitchFamily="34" charset="0"/>
            </a:rPr>
            <a:t>billion Euros</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600">
              <a:latin typeface="Calibri Light" panose="020F0302020204030204" pitchFamily="34" charset="0"/>
              <a:ea typeface="Calibri Light" panose="020F0302020204030204" pitchFamily="34" charset="0"/>
              <a:cs typeface="Calibri Light" panose="020F0302020204030204" pitchFamily="34" charset="0"/>
            </a:rPr>
            <a:t>Total: </a:t>
          </a:r>
          <a:r>
            <a:rPr lang="en-US" sz="16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€137.6 bn</a:t>
          </a:r>
          <a:endParaRPr lang="en-US" sz="16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r>
            <a:rPr lang="en-US" sz="1100">
              <a:latin typeface="Times New Roman" panose="02020603050405020304" pitchFamily="18" charset="0"/>
              <a:cs typeface="Times New Roman" panose="02020603050405020304" pitchFamily="18" charset="0"/>
            </a:rPr>
            <a:t> </a:t>
          </a: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0.16362</cdr:x>
      <cdr:y>0.34997</cdr:y>
    </cdr:from>
    <cdr:to>
      <cdr:x>0.32829</cdr:x>
      <cdr:y>0.39809</cdr:y>
    </cdr:to>
    <cdr:sp macro="" textlink="">
      <cdr:nvSpPr>
        <cdr:cNvPr id="4" name="TextBox 16">
          <a:extLst xmlns:a="http://schemas.openxmlformats.org/drawingml/2006/main">
            <a:ext uri="{FF2B5EF4-FFF2-40B4-BE49-F238E27FC236}">
              <a16:creationId xmlns:a16="http://schemas.microsoft.com/office/drawing/2014/main" id="{0A175FA4-0DC4-43AE-9263-493F919E58B3}"/>
            </a:ext>
          </a:extLst>
        </cdr:cNvPr>
        <cdr:cNvSpPr txBox="1"/>
      </cdr:nvSpPr>
      <cdr:spPr>
        <a:xfrm xmlns:a="http://schemas.openxmlformats.org/drawingml/2006/main">
          <a:off x="1978696" y="2237420"/>
          <a:ext cx="1991324" cy="307640"/>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Class F126 ship </a:t>
          </a:r>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€5.6 bn</a:t>
          </a:r>
          <a:endParaRPr lang="en-US" sz="14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p>
      </cdr:txBody>
    </cdr:sp>
  </cdr:relSizeAnchor>
  <cdr:relSizeAnchor xmlns:cdr="http://schemas.openxmlformats.org/drawingml/2006/chartDrawing">
    <cdr:from>
      <cdr:x>0.16572</cdr:x>
      <cdr:y>0.39907</cdr:y>
    </cdr:from>
    <cdr:to>
      <cdr:x>0.20521</cdr:x>
      <cdr:y>0.51625</cdr:y>
    </cdr:to>
    <cdr:cxnSp macro="">
      <cdr:nvCxnSpPr>
        <cdr:cNvPr id="5" name="Straight Arrow Connector 4">
          <a:extLst xmlns:a="http://schemas.openxmlformats.org/drawingml/2006/main">
            <a:ext uri="{FF2B5EF4-FFF2-40B4-BE49-F238E27FC236}">
              <a16:creationId xmlns:a16="http://schemas.microsoft.com/office/drawing/2014/main" id="{F6A9B282-F22E-4D5A-8252-50B50C71C91C}"/>
            </a:ext>
          </a:extLst>
        </cdr:cNvPr>
        <cdr:cNvCxnSpPr/>
      </cdr:nvCxnSpPr>
      <cdr:spPr>
        <a:xfrm xmlns:a="http://schemas.openxmlformats.org/drawingml/2006/main" flipH="1">
          <a:off x="2004097" y="2551334"/>
          <a:ext cx="477550" cy="749153"/>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0.37114</cdr:x>
      <cdr:y>0.61478</cdr:y>
    </cdr:from>
    <cdr:to>
      <cdr:x>0.53875</cdr:x>
      <cdr:y>0.70203</cdr:y>
    </cdr:to>
    <cdr:sp macro="" textlink="">
      <cdr:nvSpPr>
        <cdr:cNvPr id="6" name="TextBox 3">
          <a:extLst xmlns:a="http://schemas.openxmlformats.org/drawingml/2006/main">
            <a:ext uri="{FF2B5EF4-FFF2-40B4-BE49-F238E27FC236}">
              <a16:creationId xmlns:a16="http://schemas.microsoft.com/office/drawing/2014/main" id="{F8CAF2E1-8BF1-7DA9-D6F5-BC2B2354071F}"/>
            </a:ext>
          </a:extLst>
        </cdr:cNvPr>
        <cdr:cNvSpPr txBox="1"/>
      </cdr:nvSpPr>
      <cdr:spPr>
        <a:xfrm xmlns:a="http://schemas.openxmlformats.org/drawingml/2006/main">
          <a:off x="4488210" y="3930368"/>
          <a:ext cx="2026890" cy="557812"/>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latin typeface="Calibri Light" panose="020F0302020204030204" pitchFamily="34" charset="0"/>
              <a:ea typeface="Calibri Light" panose="020F0302020204030204" pitchFamily="34" charset="0"/>
              <a:cs typeface="Calibri Light" panose="020F0302020204030204" pitchFamily="34" charset="0"/>
            </a:rPr>
            <a:t>Future Combat Air System project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€4.4 bn</a:t>
          </a: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0.36862</cdr:x>
      <cdr:y>0.69422</cdr:y>
    </cdr:from>
    <cdr:to>
      <cdr:x>0.39697</cdr:x>
      <cdr:y>0.76467</cdr:y>
    </cdr:to>
    <cdr:cxnSp macro="">
      <cdr:nvCxnSpPr>
        <cdr:cNvPr id="11" name="Straight Arrow Connector 10">
          <a:extLst xmlns:a="http://schemas.openxmlformats.org/drawingml/2006/main">
            <a:ext uri="{FF2B5EF4-FFF2-40B4-BE49-F238E27FC236}">
              <a16:creationId xmlns:a16="http://schemas.microsoft.com/office/drawing/2014/main" id="{D28453E8-9CE1-4B63-7637-5833EDF664EA}"/>
            </a:ext>
          </a:extLst>
        </cdr:cNvPr>
        <cdr:cNvCxnSpPr/>
      </cdr:nvCxnSpPr>
      <cdr:spPr>
        <a:xfrm xmlns:a="http://schemas.openxmlformats.org/drawingml/2006/main" flipH="1">
          <a:off x="4457749" y="4438292"/>
          <a:ext cx="342835" cy="450400"/>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0.4959</cdr:x>
      <cdr:y>0.4659</cdr:y>
    </cdr:from>
    <cdr:to>
      <cdr:x>0.65154</cdr:x>
      <cdr:y>0.50179</cdr:y>
    </cdr:to>
    <cdr:sp macro="" textlink="">
      <cdr:nvSpPr>
        <cdr:cNvPr id="12" name="TextBox 14">
          <a:extLst xmlns:a="http://schemas.openxmlformats.org/drawingml/2006/main">
            <a:ext uri="{FF2B5EF4-FFF2-40B4-BE49-F238E27FC236}">
              <a16:creationId xmlns:a16="http://schemas.microsoft.com/office/drawing/2014/main" id="{888E77C8-9ADC-4DF3-9329-0A4B1D23BF68}"/>
            </a:ext>
          </a:extLst>
        </cdr:cNvPr>
        <cdr:cNvSpPr txBox="1"/>
      </cdr:nvSpPr>
      <cdr:spPr>
        <a:xfrm xmlns:a="http://schemas.openxmlformats.org/drawingml/2006/main">
          <a:off x="5996940" y="2978570"/>
          <a:ext cx="1882119" cy="229450"/>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F-35A fighter</a:t>
          </a:r>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€8.3 bn</a:t>
          </a:r>
          <a:endParaRPr lang="en-US" sz="1400">
            <a:effectLst/>
            <a:latin typeface="Calibri Light" panose="020F0302020204030204" pitchFamily="34" charset="0"/>
            <a:ea typeface="Calibri Light" panose="020F0302020204030204" pitchFamily="34" charset="0"/>
            <a:cs typeface="Calibri Light" panose="020F0302020204030204" pitchFamily="34" charset="0"/>
          </a:endParaRPr>
        </a:p>
      </cdr:txBody>
    </cdr:sp>
  </cdr:relSizeAnchor>
  <cdr:relSizeAnchor xmlns:cdr="http://schemas.openxmlformats.org/drawingml/2006/chartDrawing">
    <cdr:from>
      <cdr:x>0.61121</cdr:x>
      <cdr:y>0.52086</cdr:y>
    </cdr:from>
    <cdr:to>
      <cdr:x>0.65154</cdr:x>
      <cdr:y>0.64575</cdr:y>
    </cdr:to>
    <cdr:cxnSp macro="">
      <cdr:nvCxnSpPr>
        <cdr:cNvPr id="13" name="Straight Arrow Connector 12">
          <a:extLst xmlns:a="http://schemas.openxmlformats.org/drawingml/2006/main">
            <a:ext uri="{FF2B5EF4-FFF2-40B4-BE49-F238E27FC236}">
              <a16:creationId xmlns:a16="http://schemas.microsoft.com/office/drawing/2014/main" id="{1D620CBA-5BEF-4CC1-A026-7741866B087A}"/>
            </a:ext>
          </a:extLst>
        </cdr:cNvPr>
        <cdr:cNvCxnSpPr/>
      </cdr:nvCxnSpPr>
      <cdr:spPr>
        <a:xfrm xmlns:a="http://schemas.openxmlformats.org/drawingml/2006/main">
          <a:off x="7391350" y="3329957"/>
          <a:ext cx="487709" cy="798444"/>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0.86201</cdr:x>
      <cdr:y>0.21846</cdr:y>
    </cdr:from>
    <cdr:to>
      <cdr:x>0.99622</cdr:x>
      <cdr:y>0.32896</cdr:y>
    </cdr:to>
    <cdr:sp macro="" textlink="">
      <cdr:nvSpPr>
        <cdr:cNvPr id="19" name="TextBox 9">
          <a:extLst xmlns:a="http://schemas.openxmlformats.org/drawingml/2006/main">
            <a:ext uri="{FF2B5EF4-FFF2-40B4-BE49-F238E27FC236}">
              <a16:creationId xmlns:a16="http://schemas.microsoft.com/office/drawing/2014/main" id="{D9DAF369-FD2E-45C9-97AB-917F35607EAB}"/>
            </a:ext>
          </a:extLst>
        </cdr:cNvPr>
        <cdr:cNvSpPr txBox="1"/>
      </cdr:nvSpPr>
      <cdr:spPr>
        <a:xfrm xmlns:a="http://schemas.openxmlformats.org/drawingml/2006/main">
          <a:off x="10424285" y="1396686"/>
          <a:ext cx="1622936" cy="706434"/>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400">
              <a:latin typeface="Calibri Light" panose="020F0302020204030204" pitchFamily="34" charset="0"/>
              <a:ea typeface="Calibri Light" panose="020F0302020204030204" pitchFamily="34" charset="0"/>
              <a:cs typeface="Calibri Light" panose="020F0302020204030204" pitchFamily="34" charset="0"/>
            </a:rPr>
            <a:t>Military vehicle maintentance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a:t>
          </a:r>
          <a:r>
            <a:rPr lang="en-US" sz="1400">
              <a:latin typeface="Calibri Light" panose="020F0302020204030204" pitchFamily="34" charset="0"/>
              <a:ea typeface="Calibri Light" panose="020F0302020204030204" pitchFamily="34" charset="0"/>
              <a:cs typeface="Calibri Light" panose="020F0302020204030204" pitchFamily="34" charset="0"/>
            </a:rPr>
            <a:t>13.4 bn</a:t>
          </a:r>
        </a:p>
        <a:p xmlns:a="http://schemas.openxmlformats.org/drawingml/2006/main">
          <a:endParaRPr lang="en-US" sz="1100"/>
        </a:p>
      </cdr:txBody>
    </cdr:sp>
  </cdr:relSizeAnchor>
  <cdr:relSizeAnchor xmlns:cdr="http://schemas.openxmlformats.org/drawingml/2006/chartDrawing">
    <cdr:from>
      <cdr:x>0.85949</cdr:x>
      <cdr:y>0.32897</cdr:y>
    </cdr:from>
    <cdr:to>
      <cdr:x>0.90296</cdr:x>
      <cdr:y>0.47456</cdr:y>
    </cdr:to>
    <cdr:cxnSp macro="">
      <cdr:nvCxnSpPr>
        <cdr:cNvPr id="20" name="Straight Arrow Connector 19">
          <a:extLst xmlns:a="http://schemas.openxmlformats.org/drawingml/2006/main">
            <a:ext uri="{FF2B5EF4-FFF2-40B4-BE49-F238E27FC236}">
              <a16:creationId xmlns:a16="http://schemas.microsoft.com/office/drawing/2014/main" id="{3479F456-9CA4-4669-8D3B-6D43AAB04EFD}"/>
            </a:ext>
          </a:extLst>
        </cdr:cNvPr>
        <cdr:cNvCxnSpPr/>
      </cdr:nvCxnSpPr>
      <cdr:spPr>
        <a:xfrm xmlns:a="http://schemas.openxmlformats.org/drawingml/2006/main" flipH="1">
          <a:off x="10393806" y="2103137"/>
          <a:ext cx="525680" cy="930783"/>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0.25435</cdr:x>
      <cdr:y>0.53672</cdr:y>
    </cdr:from>
    <cdr:to>
      <cdr:x>0.34342</cdr:x>
      <cdr:y>0.61621</cdr:y>
    </cdr:to>
    <cdr:sp macro="" textlink="">
      <cdr:nvSpPr>
        <cdr:cNvPr id="7" name="TextBox 2">
          <a:extLst xmlns:a="http://schemas.openxmlformats.org/drawingml/2006/main">
            <a:ext uri="{FF2B5EF4-FFF2-40B4-BE49-F238E27FC236}">
              <a16:creationId xmlns:a16="http://schemas.microsoft.com/office/drawing/2014/main" id="{350991D1-BDEB-D5FC-EC56-D27E53F01834}"/>
            </a:ext>
          </a:extLst>
        </cdr:cNvPr>
        <cdr:cNvSpPr txBox="1"/>
      </cdr:nvSpPr>
      <cdr:spPr>
        <a:xfrm xmlns:a="http://schemas.openxmlformats.org/drawingml/2006/main">
          <a:off x="3075890" y="3431338"/>
          <a:ext cx="1077010" cy="508202"/>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40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rPr>
            <a:t>Eurofighter - </a:t>
          </a:r>
          <a:r>
            <a:rPr lang="en-US" sz="1400">
              <a:solidFill>
                <a:sysClr val="windowText" lastClr="000000"/>
              </a:solidFill>
              <a:effectLst/>
              <a:latin typeface="Calibri Light" panose="020F0302020204030204" pitchFamily="34" charset="0"/>
              <a:ea typeface="Calibri Light" panose="020F0302020204030204" pitchFamily="34" charset="0"/>
              <a:cs typeface="Calibri Light" panose="020F0302020204030204" pitchFamily="34" charset="0"/>
            </a:rPr>
            <a:t>€5.5 bn</a:t>
          </a:r>
        </a:p>
        <a:p xmlns:a="http://schemas.openxmlformats.org/drawingml/2006/main">
          <a:r>
            <a:rPr lang="en-US" sz="1100"/>
            <a:t> </a:t>
          </a:r>
        </a:p>
      </cdr:txBody>
    </cdr:sp>
  </cdr:relSizeAnchor>
  <cdr:relSizeAnchor xmlns:cdr="http://schemas.openxmlformats.org/drawingml/2006/chartDrawing">
    <cdr:from>
      <cdr:x>0.24994</cdr:x>
      <cdr:y>0.61578</cdr:y>
    </cdr:from>
    <cdr:to>
      <cdr:x>0.27662</cdr:x>
      <cdr:y>0.70868</cdr:y>
    </cdr:to>
    <cdr:cxnSp macro="">
      <cdr:nvCxnSpPr>
        <cdr:cNvPr id="16" name="Straight Arrow Connector 15">
          <a:extLst xmlns:a="http://schemas.openxmlformats.org/drawingml/2006/main">
            <a:ext uri="{FF2B5EF4-FFF2-40B4-BE49-F238E27FC236}">
              <a16:creationId xmlns:a16="http://schemas.microsoft.com/office/drawing/2014/main" id="{D3E11DE1-A132-358D-69DF-9867CB71EF4C}"/>
            </a:ext>
          </a:extLst>
        </cdr:cNvPr>
        <cdr:cNvCxnSpPr/>
      </cdr:nvCxnSpPr>
      <cdr:spPr>
        <a:xfrm xmlns:a="http://schemas.openxmlformats.org/drawingml/2006/main" flipH="1">
          <a:off x="3022557" y="3936792"/>
          <a:ext cx="322640" cy="593926"/>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0.37975</cdr:x>
      <cdr:y>0.34207</cdr:y>
    </cdr:from>
    <cdr:to>
      <cdr:x>0.54379</cdr:x>
      <cdr:y>0.45888</cdr:y>
    </cdr:to>
    <cdr:sp macro="" textlink="">
      <cdr:nvSpPr>
        <cdr:cNvPr id="21" name="TextBox 3">
          <a:extLst xmlns:a="http://schemas.openxmlformats.org/drawingml/2006/main">
            <a:ext uri="{FF2B5EF4-FFF2-40B4-BE49-F238E27FC236}">
              <a16:creationId xmlns:a16="http://schemas.microsoft.com/office/drawing/2014/main" id="{C0F62E8D-E054-CECB-EBDB-C1786EB56E1E}"/>
            </a:ext>
          </a:extLst>
        </cdr:cNvPr>
        <cdr:cNvSpPr txBox="1"/>
      </cdr:nvSpPr>
      <cdr:spPr>
        <a:xfrm xmlns:a="http://schemas.openxmlformats.org/drawingml/2006/main">
          <a:off x="4592348" y="2186939"/>
          <a:ext cx="1983711" cy="746761"/>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latin typeface="Calibri Light" panose="020F0302020204030204" pitchFamily="34" charset="0"/>
              <a:ea typeface="Calibri Light" panose="020F0302020204030204" pitchFamily="34" charset="0"/>
              <a:cs typeface="Calibri Light" panose="020F0302020204030204" pitchFamily="34" charset="0"/>
            </a:rPr>
            <a:t>P-8A Poseidon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€1.1 bn</a:t>
          </a:r>
        </a:p>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Class 424 ship - €2.1 bn</a:t>
          </a:r>
        </a:p>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U212 submarine -</a:t>
          </a:r>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€2 bn</a:t>
          </a:r>
        </a:p>
      </cdr:txBody>
    </cdr:sp>
  </cdr:relSizeAnchor>
  <cdr:relSizeAnchor xmlns:cdr="http://schemas.openxmlformats.org/drawingml/2006/chartDrawing">
    <cdr:from>
      <cdr:x>0.3661</cdr:x>
      <cdr:y>0.45571</cdr:y>
    </cdr:from>
    <cdr:to>
      <cdr:x>0.40811</cdr:x>
      <cdr:y>0.53464</cdr:y>
    </cdr:to>
    <cdr:cxnSp macro="">
      <cdr:nvCxnSpPr>
        <cdr:cNvPr id="27" name="Straight Arrow Connector 26">
          <a:extLst xmlns:a="http://schemas.openxmlformats.org/drawingml/2006/main">
            <a:ext uri="{FF2B5EF4-FFF2-40B4-BE49-F238E27FC236}">
              <a16:creationId xmlns:a16="http://schemas.microsoft.com/office/drawing/2014/main" id="{7A710D46-E7C4-9479-BD3C-FE2886225255}"/>
            </a:ext>
          </a:extLst>
        </cdr:cNvPr>
        <cdr:cNvCxnSpPr/>
      </cdr:nvCxnSpPr>
      <cdr:spPr>
        <a:xfrm xmlns:a="http://schemas.openxmlformats.org/drawingml/2006/main" flipH="1">
          <a:off x="4427267" y="2913465"/>
          <a:ext cx="508025" cy="504614"/>
        </a:xfrm>
        <a:prstGeom xmlns:a="http://schemas.openxmlformats.org/drawingml/2006/main" prst="straightConnector1">
          <a:avLst/>
        </a:prstGeom>
        <a:ln xmlns:a="http://schemas.openxmlformats.org/drawingml/2006/main">
          <a:tailEnd type="triangle"/>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0.42281</cdr:x>
      <cdr:y>0.51106</cdr:y>
    </cdr:from>
    <cdr:to>
      <cdr:x>0.56837</cdr:x>
      <cdr:y>0.58403</cdr:y>
    </cdr:to>
    <cdr:sp macro="" textlink="">
      <cdr:nvSpPr>
        <cdr:cNvPr id="30" name="TextBox 14">
          <a:extLst xmlns:a="http://schemas.openxmlformats.org/drawingml/2006/main">
            <a:ext uri="{FF2B5EF4-FFF2-40B4-BE49-F238E27FC236}">
              <a16:creationId xmlns:a16="http://schemas.microsoft.com/office/drawing/2014/main" id="{684B5A66-AEA3-E1EB-63F2-10915443EC44}"/>
            </a:ext>
          </a:extLst>
        </cdr:cNvPr>
        <cdr:cNvSpPr txBox="1"/>
      </cdr:nvSpPr>
      <cdr:spPr>
        <a:xfrm xmlns:a="http://schemas.openxmlformats.org/drawingml/2006/main">
          <a:off x="5113020" y="3267274"/>
          <a:ext cx="1760279" cy="466511"/>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latin typeface="Calibri Light" panose="020F0302020204030204" pitchFamily="34" charset="0"/>
              <a:ea typeface="Calibri Light" panose="020F0302020204030204" pitchFamily="34" charset="0"/>
              <a:cs typeface="Calibri Light" panose="020F0302020204030204" pitchFamily="34" charset="0"/>
            </a:rPr>
            <a:t>Clothing &amp; personal equipment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€6.9 bn</a:t>
          </a:r>
          <a:endParaRPr lang="en-US" sz="1400">
            <a:latin typeface="Calibri Light" panose="020F0302020204030204" pitchFamily="34" charset="0"/>
            <a:ea typeface="Calibri Light" panose="020F0302020204030204" pitchFamily="34" charset="0"/>
            <a:cs typeface="Calibri Light" panose="020F0302020204030204" pitchFamily="34" charset="0"/>
          </a:endParaRPr>
        </a:p>
      </cdr:txBody>
    </cdr:sp>
  </cdr:relSizeAnchor>
  <cdr:relSizeAnchor xmlns:cdr="http://schemas.openxmlformats.org/drawingml/2006/chartDrawing">
    <cdr:from>
      <cdr:x>0.52489</cdr:x>
      <cdr:y>0.59475</cdr:y>
    </cdr:from>
    <cdr:to>
      <cdr:x>0.56648</cdr:x>
      <cdr:y>0.68881</cdr:y>
    </cdr:to>
    <cdr:cxnSp macro="">
      <cdr:nvCxnSpPr>
        <cdr:cNvPr id="32" name="Straight Arrow Connector 31">
          <a:extLst xmlns:a="http://schemas.openxmlformats.org/drawingml/2006/main">
            <a:ext uri="{FF2B5EF4-FFF2-40B4-BE49-F238E27FC236}">
              <a16:creationId xmlns:a16="http://schemas.microsoft.com/office/drawing/2014/main" id="{E5FB51F3-34F3-F1B0-745B-79C76FB0BF87}"/>
            </a:ext>
          </a:extLst>
        </cdr:cNvPr>
        <cdr:cNvCxnSpPr/>
      </cdr:nvCxnSpPr>
      <cdr:spPr>
        <a:xfrm xmlns:a="http://schemas.openxmlformats.org/drawingml/2006/main">
          <a:off x="6347486" y="3802373"/>
          <a:ext cx="502946" cy="601343"/>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0.65911</cdr:x>
      <cdr:y>0.36997</cdr:y>
    </cdr:from>
    <cdr:to>
      <cdr:x>0.81916</cdr:x>
      <cdr:y>0.41869</cdr:y>
    </cdr:to>
    <cdr:sp macro="" textlink="">
      <cdr:nvSpPr>
        <cdr:cNvPr id="40" name="TextBox 10">
          <a:extLst xmlns:a="http://schemas.openxmlformats.org/drawingml/2006/main">
            <a:ext uri="{FF2B5EF4-FFF2-40B4-BE49-F238E27FC236}">
              <a16:creationId xmlns:a16="http://schemas.microsoft.com/office/drawing/2014/main" id="{6E339E33-970A-6598-51B7-1A6788D9D75A}"/>
            </a:ext>
          </a:extLst>
        </cdr:cNvPr>
        <cdr:cNvSpPr txBox="1"/>
      </cdr:nvSpPr>
      <cdr:spPr>
        <a:xfrm xmlns:a="http://schemas.openxmlformats.org/drawingml/2006/main">
          <a:off x="7970520" y="2365264"/>
          <a:ext cx="1935490" cy="311496"/>
        </a:xfrm>
        <a:prstGeom xmlns:a="http://schemas.openxmlformats.org/drawingml/2006/main" prst="rect">
          <a:avLst/>
        </a:prstGeom>
        <a:solidFill xmlns:a="http://schemas.openxmlformats.org/drawingml/2006/main">
          <a:sysClr val="window" lastClr="FFFFFF"/>
        </a:solidFill>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en-US" sz="1400">
              <a:latin typeface="Calibri Light" panose="020F0302020204030204" pitchFamily="34" charset="0"/>
              <a:ea typeface="Calibri Light" panose="020F0302020204030204" pitchFamily="34" charset="0"/>
              <a:cs typeface="Calibri Light" panose="020F0302020204030204" pitchFamily="34" charset="0"/>
            </a:rPr>
            <a:t>CH-47F Chinook - </a:t>
          </a:r>
          <a:r>
            <a:rPr lang="en-US" sz="1400">
              <a:solidFill>
                <a:schemeClr val="tx1"/>
              </a:solidFill>
              <a:effectLst/>
              <a:latin typeface="Calibri Light" panose="020F0302020204030204" pitchFamily="34" charset="0"/>
              <a:ea typeface="Calibri Light" panose="020F0302020204030204" pitchFamily="34" charset="0"/>
              <a:cs typeface="Calibri Light" panose="020F0302020204030204" pitchFamily="34" charset="0"/>
            </a:rPr>
            <a:t>€7 bn</a:t>
          </a:r>
        </a:p>
      </cdr:txBody>
    </cdr:sp>
  </cdr:relSizeAnchor>
  <cdr:relSizeAnchor xmlns:cdr="http://schemas.openxmlformats.org/drawingml/2006/chartDrawing">
    <cdr:from>
      <cdr:x>0.72854</cdr:x>
      <cdr:y>0.41251</cdr:y>
    </cdr:from>
    <cdr:to>
      <cdr:x>0.77181</cdr:x>
      <cdr:y>0.58221</cdr:y>
    </cdr:to>
    <cdr:cxnSp macro="">
      <cdr:nvCxnSpPr>
        <cdr:cNvPr id="42" name="Straight Arrow Connector 41">
          <a:extLst xmlns:a="http://schemas.openxmlformats.org/drawingml/2006/main">
            <a:ext uri="{FF2B5EF4-FFF2-40B4-BE49-F238E27FC236}">
              <a16:creationId xmlns:a16="http://schemas.microsoft.com/office/drawing/2014/main" id="{A461CC11-8CF3-D709-E109-5FD2C8BA7FD6}"/>
            </a:ext>
          </a:extLst>
        </cdr:cNvPr>
        <cdr:cNvCxnSpPr/>
      </cdr:nvCxnSpPr>
      <cdr:spPr>
        <a:xfrm xmlns:a="http://schemas.openxmlformats.org/drawingml/2006/main">
          <a:off x="8710235" y="2637239"/>
          <a:ext cx="517327" cy="1084922"/>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0.45507</cdr:x>
      <cdr:y>0</cdr:y>
    </cdr:from>
    <cdr:to>
      <cdr:x>0.83259</cdr:x>
      <cdr:y>0.31766</cdr:y>
    </cdr:to>
    <cdr:sp macro="" textlink="">
      <cdr:nvSpPr>
        <cdr:cNvPr id="8" name="TextBox 3">
          <a:extLst xmlns:a="http://schemas.openxmlformats.org/drawingml/2006/main">
            <a:ext uri="{FF2B5EF4-FFF2-40B4-BE49-F238E27FC236}">
              <a16:creationId xmlns:a16="http://schemas.microsoft.com/office/drawing/2014/main" id="{3AFB251C-8A38-9C2F-19D8-75F8CADE4E03}"/>
            </a:ext>
          </a:extLst>
        </cdr:cNvPr>
        <cdr:cNvSpPr txBox="1"/>
      </cdr:nvSpPr>
      <cdr:spPr>
        <a:xfrm xmlns:a="http://schemas.openxmlformats.org/drawingml/2006/main">
          <a:off x="5440680" y="0"/>
          <a:ext cx="4513532" cy="2030858"/>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600" u="sng">
              <a:latin typeface="Calibri Light" panose="020F0302020204030204" pitchFamily="34" charset="0"/>
              <a:ea typeface="Calibri Light" panose="020F0302020204030204" pitchFamily="34" charset="0"/>
              <a:cs typeface="Calibri Light" panose="020F0302020204030204" pitchFamily="34" charset="0"/>
            </a:rPr>
            <a:t>Land includes:</a:t>
          </a:r>
        </a:p>
        <a:p xmlns:a="http://schemas.openxmlformats.org/drawingml/2006/main">
          <a:r>
            <a:rPr lang="en-US" sz="1600">
              <a:latin typeface="Calibri Light" panose="020F0302020204030204" pitchFamily="34" charset="0"/>
              <a:ea typeface="Calibri Light" panose="020F0302020204030204" pitchFamily="34" charset="0"/>
              <a:cs typeface="Calibri Light" panose="020F0302020204030204" pitchFamily="34" charset="0"/>
            </a:rPr>
            <a:t>Air defence system, Ammunition, Armoured vehicle,</a:t>
          </a:r>
          <a:r>
            <a:rPr lang="en-US" sz="1600" baseline="0">
              <a:latin typeface="Calibri Light" panose="020F0302020204030204" pitchFamily="34" charset="0"/>
              <a:ea typeface="Calibri Light" panose="020F0302020204030204" pitchFamily="34" charset="0"/>
              <a:cs typeface="Calibri Light" panose="020F0302020204030204" pitchFamily="34" charset="0"/>
            </a:rPr>
            <a:t> Artillery, Drone, Helicopter, Infantry, Main battle tank, Mine, Missile (Land)</a:t>
          </a:r>
        </a:p>
        <a:p xmlns:a="http://schemas.openxmlformats.org/drawingml/2006/main">
          <a:r>
            <a:rPr lang="en-US" sz="1600" u="sng" baseline="0">
              <a:latin typeface="Calibri Light" panose="020F0302020204030204" pitchFamily="34" charset="0"/>
              <a:ea typeface="Calibri Light" panose="020F0302020204030204" pitchFamily="34" charset="0"/>
              <a:cs typeface="Calibri Light" panose="020F0302020204030204" pitchFamily="34" charset="0"/>
            </a:rPr>
            <a:t>Other includes:</a:t>
          </a:r>
        </a:p>
        <a:p xmlns:a="http://schemas.openxmlformats.org/drawingml/2006/main">
          <a:r>
            <a:rPr lang="en-US" sz="1600" u="none" baseline="0">
              <a:latin typeface="Calibri Light" panose="020F0302020204030204" pitchFamily="34" charset="0"/>
              <a:ea typeface="Calibri Light" panose="020F0302020204030204" pitchFamily="34" charset="0"/>
              <a:cs typeface="Calibri Light" panose="020F0302020204030204" pitchFamily="34" charset="0"/>
            </a:rPr>
            <a:t>Maintenance, Modernisation, Other</a:t>
          </a:r>
        </a:p>
        <a:p xmlns:a="http://schemas.openxmlformats.org/drawingml/2006/main">
          <a:endParaRPr lang="en-US" sz="1600" u="none" baseline="0">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r>
            <a:rPr lang="en-US" sz="1600" u="none" baseline="0">
              <a:latin typeface="Calibri Light" panose="020F0302020204030204" pitchFamily="34" charset="0"/>
              <a:ea typeface="Calibri Light" panose="020F0302020204030204" pitchFamily="34" charset="0"/>
              <a:cs typeface="Calibri Light" panose="020F0302020204030204" pitchFamily="34" charset="0"/>
            </a:rPr>
            <a:t>Each category includes costs for development</a:t>
          </a:r>
          <a:endParaRPr lang="en-US" sz="1600" u="none">
            <a:latin typeface="Calibri Light" panose="020F0302020204030204" pitchFamily="34" charset="0"/>
            <a:ea typeface="Calibri Light" panose="020F0302020204030204" pitchFamily="34" charset="0"/>
            <a:cs typeface="Calibri Light" panose="020F0302020204030204" pitchFamily="34" charset="0"/>
          </a:endParaRPr>
        </a:p>
      </cdr:txBody>
    </cdr:sp>
  </cdr:relSizeAnchor>
</c:userShapes>
</file>

<file path=xl/drawings/drawing40.xml><?xml version="1.0" encoding="utf-8"?>
<xdr:wsDr xmlns:xdr="http://schemas.openxmlformats.org/drawingml/2006/spreadsheetDrawing" xmlns:a="http://schemas.openxmlformats.org/drawingml/2006/main">
  <xdr:twoCellAnchor>
    <xdr:from>
      <xdr:col>7</xdr:col>
      <xdr:colOff>0</xdr:colOff>
      <xdr:row>5</xdr:row>
      <xdr:rowOff>0</xdr:rowOff>
    </xdr:from>
    <xdr:to>
      <xdr:col>25</xdr:col>
      <xdr:colOff>0</xdr:colOff>
      <xdr:row>37</xdr:row>
      <xdr:rowOff>0</xdr:rowOff>
    </xdr:to>
    <xdr:graphicFrame macro="">
      <xdr:nvGraphicFramePr>
        <xdr:cNvPr id="2" name="Chart 1">
          <a:extLst>
            <a:ext uri="{FF2B5EF4-FFF2-40B4-BE49-F238E27FC236}">
              <a16:creationId xmlns:a16="http://schemas.microsoft.com/office/drawing/2014/main" id="{87F699C6-DFC5-48F6-9C14-7FFD239856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1.xml><?xml version="1.0" encoding="utf-8"?>
<c:userShapes xmlns:c="http://schemas.openxmlformats.org/drawingml/2006/chart">
  <cdr:relSizeAnchor xmlns:cdr="http://schemas.openxmlformats.org/drawingml/2006/chartDrawing">
    <cdr:from>
      <cdr:x>0.04581</cdr:x>
      <cdr:y>0.09018</cdr:y>
    </cdr:from>
    <cdr:to>
      <cdr:x>0.1572</cdr:x>
      <cdr:y>0.17836</cdr:y>
    </cdr:to>
    <cdr:sp macro="" textlink="">
      <cdr:nvSpPr>
        <cdr:cNvPr id="3" name="TextBox 19">
          <a:extLst xmlns:a="http://schemas.openxmlformats.org/drawingml/2006/main">
            <a:ext uri="{FF2B5EF4-FFF2-40B4-BE49-F238E27FC236}">
              <a16:creationId xmlns:a16="http://schemas.microsoft.com/office/drawing/2014/main" id="{A2DED420-FAA1-BDF2-3E41-D437B3BA1BFF}"/>
            </a:ext>
          </a:extLst>
        </cdr:cNvPr>
        <cdr:cNvSpPr txBox="1"/>
      </cdr:nvSpPr>
      <cdr:spPr>
        <a:xfrm xmlns:a="http://schemas.openxmlformats.org/drawingml/2006/main">
          <a:off x="552958" y="577913"/>
          <a:ext cx="1344422" cy="565087"/>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600">
              <a:latin typeface="Calibri Light" panose="020F0302020204030204" pitchFamily="34" charset="0"/>
              <a:ea typeface="Calibri Light" panose="020F0302020204030204" pitchFamily="34" charset="0"/>
              <a:cs typeface="Calibri Light" panose="020F0302020204030204" pitchFamily="34" charset="0"/>
            </a:rPr>
            <a:t>units</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600">
              <a:latin typeface="Calibri Light" panose="020F0302020204030204" pitchFamily="34" charset="0"/>
              <a:ea typeface="Calibri Light" panose="020F0302020204030204" pitchFamily="34" charset="0"/>
              <a:cs typeface="Calibri Light" panose="020F0302020204030204" pitchFamily="34" charset="0"/>
            </a:rPr>
            <a:t>Total: 2923</a:t>
          </a:r>
          <a:endParaRPr lang="en-US" sz="16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r>
            <a:rPr lang="en-US" sz="1100">
              <a:latin typeface="Times New Roman" panose="02020603050405020304" pitchFamily="18" charset="0"/>
              <a:cs typeface="Times New Roman" panose="02020603050405020304" pitchFamily="18" charset="0"/>
            </a:rPr>
            <a:t> </a:t>
          </a: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0.8028</cdr:x>
      <cdr:y>0.63322</cdr:y>
    </cdr:from>
    <cdr:to>
      <cdr:x>0.84502</cdr:x>
      <cdr:y>0.75441</cdr:y>
    </cdr:to>
    <cdr:cxnSp macro="">
      <cdr:nvCxnSpPr>
        <cdr:cNvPr id="20" name="Straight Arrow Connector 19">
          <a:extLst xmlns:a="http://schemas.openxmlformats.org/drawingml/2006/main">
            <a:ext uri="{FF2B5EF4-FFF2-40B4-BE49-F238E27FC236}">
              <a16:creationId xmlns:a16="http://schemas.microsoft.com/office/drawing/2014/main" id="{3479F456-9CA4-4669-8D3B-6D43AAB04EFD}"/>
            </a:ext>
          </a:extLst>
        </cdr:cNvPr>
        <cdr:cNvCxnSpPr/>
      </cdr:nvCxnSpPr>
      <cdr:spPr>
        <a:xfrm xmlns:a="http://schemas.openxmlformats.org/drawingml/2006/main">
          <a:off x="9689841" y="4057913"/>
          <a:ext cx="509598" cy="776637"/>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0.53813</cdr:x>
      <cdr:y>0.4054</cdr:y>
    </cdr:from>
    <cdr:to>
      <cdr:x>0.59044</cdr:x>
      <cdr:y>0.56072</cdr:y>
    </cdr:to>
    <cdr:cxnSp macro="">
      <cdr:nvCxnSpPr>
        <cdr:cNvPr id="27" name="Straight Arrow Connector 26">
          <a:extLst xmlns:a="http://schemas.openxmlformats.org/drawingml/2006/main">
            <a:ext uri="{FF2B5EF4-FFF2-40B4-BE49-F238E27FC236}">
              <a16:creationId xmlns:a16="http://schemas.microsoft.com/office/drawing/2014/main" id="{7A710D46-E7C4-9479-BD3C-FE2886225255}"/>
            </a:ext>
          </a:extLst>
        </cdr:cNvPr>
        <cdr:cNvCxnSpPr/>
      </cdr:nvCxnSpPr>
      <cdr:spPr>
        <a:xfrm xmlns:a="http://schemas.openxmlformats.org/drawingml/2006/main">
          <a:off x="6495326" y="2597979"/>
          <a:ext cx="631386" cy="995356"/>
        </a:xfrm>
        <a:prstGeom xmlns:a="http://schemas.openxmlformats.org/drawingml/2006/main" prst="straightConnector1">
          <a:avLst/>
        </a:prstGeom>
        <a:ln xmlns:a="http://schemas.openxmlformats.org/drawingml/2006/main">
          <a:tailEnd type="triangle"/>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0.70707</cdr:x>
      <cdr:y>0.58705</cdr:y>
    </cdr:from>
    <cdr:to>
      <cdr:x>0.84248</cdr:x>
      <cdr:y>0.62782</cdr:y>
    </cdr:to>
    <cdr:sp macro="" textlink="">
      <cdr:nvSpPr>
        <cdr:cNvPr id="5" name="TextBox 9">
          <a:extLst xmlns:a="http://schemas.openxmlformats.org/drawingml/2006/main">
            <a:ext uri="{FF2B5EF4-FFF2-40B4-BE49-F238E27FC236}">
              <a16:creationId xmlns:a16="http://schemas.microsoft.com/office/drawing/2014/main" id="{A37498DB-99F3-4A06-5456-C7C3F1B04BD7}"/>
            </a:ext>
          </a:extLst>
        </cdr:cNvPr>
        <cdr:cNvSpPr txBox="1"/>
      </cdr:nvSpPr>
      <cdr:spPr>
        <a:xfrm xmlns:a="http://schemas.openxmlformats.org/drawingml/2006/main">
          <a:off x="8534400" y="3762061"/>
          <a:ext cx="1634391" cy="261299"/>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Patriot missile - 400</a:t>
          </a:r>
          <a:endParaRPr lang="en-US" sz="14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p>
      </cdr:txBody>
    </cdr:sp>
  </cdr:relSizeAnchor>
  <cdr:relSizeAnchor xmlns:cdr="http://schemas.openxmlformats.org/drawingml/2006/chartDrawing">
    <cdr:from>
      <cdr:x>0.41288</cdr:x>
      <cdr:y>0.35532</cdr:y>
    </cdr:from>
    <cdr:to>
      <cdr:x>0.59108</cdr:x>
      <cdr:y>0.39834</cdr:y>
    </cdr:to>
    <cdr:sp macro="" textlink="">
      <cdr:nvSpPr>
        <cdr:cNvPr id="6" name="TextBox 3">
          <a:extLst xmlns:a="http://schemas.openxmlformats.org/drawingml/2006/main">
            <a:ext uri="{FF2B5EF4-FFF2-40B4-BE49-F238E27FC236}">
              <a16:creationId xmlns:a16="http://schemas.microsoft.com/office/drawing/2014/main" id="{FC9B6EF3-1273-E6C4-AC7A-97B932290C96}"/>
            </a:ext>
          </a:extLst>
        </cdr:cNvPr>
        <cdr:cNvSpPr txBox="1"/>
      </cdr:nvSpPr>
      <cdr:spPr>
        <a:xfrm xmlns:a="http://schemas.openxmlformats.org/drawingml/2006/main">
          <a:off x="4983480" y="2277036"/>
          <a:ext cx="2150957" cy="275690"/>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RAM Block 2B missile - 600</a:t>
          </a:r>
        </a:p>
      </cdr:txBody>
    </cdr:sp>
  </cdr:relSizeAnchor>
  <cdr:relSizeAnchor xmlns:cdr="http://schemas.openxmlformats.org/drawingml/2006/chartDrawing">
    <cdr:from>
      <cdr:x>0.70139</cdr:x>
      <cdr:y>0.25816</cdr:y>
    </cdr:from>
    <cdr:to>
      <cdr:x>0.83872</cdr:x>
      <cdr:y>0.33175</cdr:y>
    </cdr:to>
    <cdr:sp macro="" textlink="">
      <cdr:nvSpPr>
        <cdr:cNvPr id="7" name="TextBox 9">
          <a:extLst xmlns:a="http://schemas.openxmlformats.org/drawingml/2006/main">
            <a:ext uri="{FF2B5EF4-FFF2-40B4-BE49-F238E27FC236}">
              <a16:creationId xmlns:a16="http://schemas.microsoft.com/office/drawing/2014/main" id="{26591067-ECD7-9464-C00C-9A10BF0D27F9}"/>
            </a:ext>
          </a:extLst>
        </cdr:cNvPr>
        <cdr:cNvSpPr txBox="1"/>
      </cdr:nvSpPr>
      <cdr:spPr>
        <a:xfrm xmlns:a="http://schemas.openxmlformats.org/drawingml/2006/main">
          <a:off x="8465821" y="1654384"/>
          <a:ext cx="1657540" cy="471596"/>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IRIS-T missile - 120</a:t>
          </a:r>
        </a:p>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Patriot missile - 100</a:t>
          </a:r>
          <a:endParaRPr lang="en-US" sz="14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p>
      </cdr:txBody>
    </cdr:sp>
  </cdr:relSizeAnchor>
  <cdr:relSizeAnchor xmlns:cdr="http://schemas.openxmlformats.org/drawingml/2006/chartDrawing">
    <cdr:from>
      <cdr:x>0.79901</cdr:x>
      <cdr:y>0.33864</cdr:y>
    </cdr:from>
    <cdr:to>
      <cdr:x>0.8447</cdr:x>
      <cdr:y>0.4352</cdr:y>
    </cdr:to>
    <cdr:cxnSp macro="">
      <cdr:nvCxnSpPr>
        <cdr:cNvPr id="10" name="Straight Arrow Connector 9">
          <a:extLst xmlns:a="http://schemas.openxmlformats.org/drawingml/2006/main">
            <a:ext uri="{FF2B5EF4-FFF2-40B4-BE49-F238E27FC236}">
              <a16:creationId xmlns:a16="http://schemas.microsoft.com/office/drawing/2014/main" id="{2B12905D-2AAF-A4B1-8BCF-40B2BEE8AE73}"/>
            </a:ext>
          </a:extLst>
        </cdr:cNvPr>
        <cdr:cNvCxnSpPr/>
      </cdr:nvCxnSpPr>
      <cdr:spPr>
        <a:xfrm xmlns:a="http://schemas.openxmlformats.org/drawingml/2006/main">
          <a:off x="9644089" y="2170125"/>
          <a:ext cx="551471" cy="618795"/>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0.09722</cdr:x>
      <cdr:y>0.21767</cdr:y>
    </cdr:from>
    <cdr:to>
      <cdr:x>0.26972</cdr:x>
      <cdr:y>0.28894</cdr:y>
    </cdr:to>
    <cdr:sp macro="" textlink="">
      <cdr:nvSpPr>
        <cdr:cNvPr id="4" name="TextBox 3">
          <a:extLst xmlns:a="http://schemas.openxmlformats.org/drawingml/2006/main">
            <a:ext uri="{FF2B5EF4-FFF2-40B4-BE49-F238E27FC236}">
              <a16:creationId xmlns:a16="http://schemas.microsoft.com/office/drawing/2014/main" id="{A412F6D3-8D76-5C3D-2F09-6B0D1CA556C4}"/>
            </a:ext>
          </a:extLst>
        </cdr:cNvPr>
        <cdr:cNvSpPr txBox="1"/>
      </cdr:nvSpPr>
      <cdr:spPr>
        <a:xfrm xmlns:a="http://schemas.openxmlformats.org/drawingml/2006/main">
          <a:off x="1173480" y="1394899"/>
          <a:ext cx="2082011" cy="456762"/>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MELLS missile - 666</a:t>
          </a:r>
        </a:p>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MELLS missile system - 82</a:t>
          </a:r>
        </a:p>
      </cdr:txBody>
    </cdr:sp>
  </cdr:relSizeAnchor>
  <cdr:relSizeAnchor xmlns:cdr="http://schemas.openxmlformats.org/drawingml/2006/chartDrawing">
    <cdr:from>
      <cdr:x>0.21614</cdr:x>
      <cdr:y>0.29929</cdr:y>
    </cdr:from>
    <cdr:to>
      <cdr:x>0.26519</cdr:x>
      <cdr:y>0.41354</cdr:y>
    </cdr:to>
    <cdr:cxnSp macro="">
      <cdr:nvCxnSpPr>
        <cdr:cNvPr id="8" name="Straight Arrow Connector 7">
          <a:extLst xmlns:a="http://schemas.openxmlformats.org/drawingml/2006/main">
            <a:ext uri="{FF2B5EF4-FFF2-40B4-BE49-F238E27FC236}">
              <a16:creationId xmlns:a16="http://schemas.microsoft.com/office/drawing/2014/main" id="{325AE485-2374-F67A-3071-A8E48C483B69}"/>
            </a:ext>
          </a:extLst>
        </cdr:cNvPr>
        <cdr:cNvCxnSpPr/>
      </cdr:nvCxnSpPr>
      <cdr:spPr>
        <a:xfrm xmlns:a="http://schemas.openxmlformats.org/drawingml/2006/main">
          <a:off x="2608770" y="1918008"/>
          <a:ext cx="592037" cy="732098"/>
        </a:xfrm>
        <a:prstGeom xmlns:a="http://schemas.openxmlformats.org/drawingml/2006/main" prst="straightConnector1">
          <a:avLst/>
        </a:prstGeom>
        <a:ln xmlns:a="http://schemas.openxmlformats.org/drawingml/2006/main">
          <a:tailEnd type="triangle"/>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0.86301</cdr:x>
      <cdr:y>0.50118</cdr:y>
    </cdr:from>
    <cdr:to>
      <cdr:x>0.93939</cdr:x>
      <cdr:y>0.60404</cdr:y>
    </cdr:to>
    <cdr:sp macro="" textlink="">
      <cdr:nvSpPr>
        <cdr:cNvPr id="9" name="TextBox 9">
          <a:extLst xmlns:a="http://schemas.openxmlformats.org/drawingml/2006/main">
            <a:ext uri="{FF2B5EF4-FFF2-40B4-BE49-F238E27FC236}">
              <a16:creationId xmlns:a16="http://schemas.microsoft.com/office/drawing/2014/main" id="{9A113218-AAAA-775D-27BF-528766B5A672}"/>
            </a:ext>
          </a:extLst>
        </cdr:cNvPr>
        <cdr:cNvSpPr txBox="1"/>
      </cdr:nvSpPr>
      <cdr:spPr>
        <a:xfrm xmlns:a="http://schemas.openxmlformats.org/drawingml/2006/main">
          <a:off x="10416540" y="3211776"/>
          <a:ext cx="922020" cy="659183"/>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Brimstone</a:t>
          </a:r>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3</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missile - 274</a:t>
          </a:r>
          <a:endParaRPr lang="en-US" sz="14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p>
      </cdr:txBody>
    </cdr:sp>
  </cdr:relSizeAnchor>
  <cdr:relSizeAnchor xmlns:cdr="http://schemas.openxmlformats.org/drawingml/2006/chartDrawing">
    <cdr:from>
      <cdr:x>0.78283</cdr:x>
      <cdr:y>0.15138</cdr:y>
    </cdr:from>
    <cdr:to>
      <cdr:x>0.94836</cdr:x>
      <cdr:y>0.195</cdr:y>
    </cdr:to>
    <cdr:sp macro="" textlink="">
      <cdr:nvSpPr>
        <cdr:cNvPr id="11" name="TextBox 9">
          <a:extLst xmlns:a="http://schemas.openxmlformats.org/drawingml/2006/main">
            <a:ext uri="{FF2B5EF4-FFF2-40B4-BE49-F238E27FC236}">
              <a16:creationId xmlns:a16="http://schemas.microsoft.com/office/drawing/2014/main" id="{9A113218-AAAA-775D-27BF-528766B5A672}"/>
            </a:ext>
          </a:extLst>
        </cdr:cNvPr>
        <cdr:cNvSpPr txBox="1"/>
      </cdr:nvSpPr>
      <cdr:spPr>
        <a:xfrm xmlns:a="http://schemas.openxmlformats.org/drawingml/2006/main">
          <a:off x="9448800" y="970115"/>
          <a:ext cx="1998009" cy="279535"/>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Stinger MANPADS - 506</a:t>
          </a:r>
          <a:endParaRPr lang="en-US" sz="14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p>
      </cdr:txBody>
    </cdr:sp>
  </cdr:relSizeAnchor>
  <cdr:relSizeAnchor xmlns:cdr="http://schemas.openxmlformats.org/drawingml/2006/chartDrawing">
    <cdr:from>
      <cdr:x>0.89898</cdr:x>
      <cdr:y>0.6042</cdr:y>
    </cdr:from>
    <cdr:to>
      <cdr:x>0.9412</cdr:x>
      <cdr:y>0.72539</cdr:y>
    </cdr:to>
    <cdr:cxnSp macro="">
      <cdr:nvCxnSpPr>
        <cdr:cNvPr id="12" name="Straight Arrow Connector 11">
          <a:extLst xmlns:a="http://schemas.openxmlformats.org/drawingml/2006/main">
            <a:ext uri="{FF2B5EF4-FFF2-40B4-BE49-F238E27FC236}">
              <a16:creationId xmlns:a16="http://schemas.microsoft.com/office/drawing/2014/main" id="{AE8048C2-EEFE-3375-B38E-FC80F33BF8D3}"/>
            </a:ext>
          </a:extLst>
        </cdr:cNvPr>
        <cdr:cNvCxnSpPr/>
      </cdr:nvCxnSpPr>
      <cdr:spPr>
        <a:xfrm xmlns:a="http://schemas.openxmlformats.org/drawingml/2006/main">
          <a:off x="10850719" y="3871984"/>
          <a:ext cx="509599" cy="776637"/>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0.90088</cdr:x>
      <cdr:y>0.20391</cdr:y>
    </cdr:from>
    <cdr:to>
      <cdr:x>0.9431</cdr:x>
      <cdr:y>0.3251</cdr:y>
    </cdr:to>
    <cdr:cxnSp macro="">
      <cdr:nvCxnSpPr>
        <cdr:cNvPr id="13" name="Straight Arrow Connector 12">
          <a:extLst xmlns:a="http://schemas.openxmlformats.org/drawingml/2006/main">
            <a:ext uri="{FF2B5EF4-FFF2-40B4-BE49-F238E27FC236}">
              <a16:creationId xmlns:a16="http://schemas.microsoft.com/office/drawing/2014/main" id="{AE8048C2-EEFE-3375-B38E-FC80F33BF8D3}"/>
            </a:ext>
          </a:extLst>
        </cdr:cNvPr>
        <cdr:cNvCxnSpPr/>
      </cdr:nvCxnSpPr>
      <cdr:spPr>
        <a:xfrm xmlns:a="http://schemas.openxmlformats.org/drawingml/2006/main">
          <a:off x="10873700" y="1306729"/>
          <a:ext cx="509599" cy="776637"/>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userShapes>
</file>

<file path=xl/drawings/drawing42.xml><?xml version="1.0" encoding="utf-8"?>
<xdr:wsDr xmlns:xdr="http://schemas.openxmlformats.org/drawingml/2006/spreadsheetDrawing" xmlns:a="http://schemas.openxmlformats.org/drawingml/2006/main">
  <xdr:twoCellAnchor>
    <xdr:from>
      <xdr:col>7</xdr:col>
      <xdr:colOff>0</xdr:colOff>
      <xdr:row>5</xdr:row>
      <xdr:rowOff>0</xdr:rowOff>
    </xdr:from>
    <xdr:to>
      <xdr:col>25</xdr:col>
      <xdr:colOff>0</xdr:colOff>
      <xdr:row>36</xdr:row>
      <xdr:rowOff>190500</xdr:rowOff>
    </xdr:to>
    <xdr:graphicFrame macro="">
      <xdr:nvGraphicFramePr>
        <xdr:cNvPr id="2" name="Chart 1">
          <a:extLst>
            <a:ext uri="{FF2B5EF4-FFF2-40B4-BE49-F238E27FC236}">
              <a16:creationId xmlns:a16="http://schemas.microsoft.com/office/drawing/2014/main" id="{41C5358F-16BD-4F96-92B0-83DF94CF02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3.xml><?xml version="1.0" encoding="utf-8"?>
<c:userShapes xmlns:c="http://schemas.openxmlformats.org/drawingml/2006/chart">
  <cdr:relSizeAnchor xmlns:cdr="http://schemas.openxmlformats.org/drawingml/2006/chartDrawing">
    <cdr:from>
      <cdr:x>0.04708</cdr:x>
      <cdr:y>0.10328</cdr:y>
    </cdr:from>
    <cdr:to>
      <cdr:x>0.16477</cdr:x>
      <cdr:y>0.18929</cdr:y>
    </cdr:to>
    <cdr:sp macro="" textlink="">
      <cdr:nvSpPr>
        <cdr:cNvPr id="3" name="TextBox 19">
          <a:extLst xmlns:a="http://schemas.openxmlformats.org/drawingml/2006/main">
            <a:ext uri="{FF2B5EF4-FFF2-40B4-BE49-F238E27FC236}">
              <a16:creationId xmlns:a16="http://schemas.microsoft.com/office/drawing/2014/main" id="{A2DED420-FAA1-BDF2-3E41-D437B3BA1BFF}"/>
            </a:ext>
          </a:extLst>
        </cdr:cNvPr>
        <cdr:cNvSpPr txBox="1"/>
      </cdr:nvSpPr>
      <cdr:spPr>
        <a:xfrm xmlns:a="http://schemas.openxmlformats.org/drawingml/2006/main">
          <a:off x="568309" y="661050"/>
          <a:ext cx="1420511" cy="55053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600">
              <a:latin typeface="Calibri Light" panose="020F0302020204030204" pitchFamily="34" charset="0"/>
              <a:ea typeface="Calibri Light" panose="020F0302020204030204" pitchFamily="34" charset="0"/>
              <a:cs typeface="Calibri Light" panose="020F0302020204030204" pitchFamily="34" charset="0"/>
            </a:rPr>
            <a:t>billion Euros</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600">
              <a:latin typeface="Calibri Light" panose="020F0302020204030204" pitchFamily="34" charset="0"/>
              <a:ea typeface="Calibri Light" panose="020F0302020204030204" pitchFamily="34" charset="0"/>
              <a:cs typeface="Calibri Light" panose="020F0302020204030204" pitchFamily="34" charset="0"/>
            </a:rPr>
            <a:t>Total: </a:t>
          </a:r>
          <a:r>
            <a:rPr lang="en-US" sz="16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€6.1 bn</a:t>
          </a:r>
          <a:endParaRPr lang="en-US" sz="16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r>
            <a:rPr lang="en-US" sz="1100">
              <a:latin typeface="Times New Roman" panose="02020603050405020304" pitchFamily="18" charset="0"/>
              <a:cs typeface="Times New Roman" panose="02020603050405020304" pitchFamily="18" charset="0"/>
            </a:rPr>
            <a:t> </a:t>
          </a: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0.6995</cdr:x>
      <cdr:y>0.23717</cdr:y>
    </cdr:from>
    <cdr:to>
      <cdr:x>0.84628</cdr:x>
      <cdr:y>0.27976</cdr:y>
    </cdr:to>
    <cdr:sp macro="" textlink="">
      <cdr:nvSpPr>
        <cdr:cNvPr id="19" name="TextBox 9">
          <a:extLst xmlns:a="http://schemas.openxmlformats.org/drawingml/2006/main">
            <a:ext uri="{FF2B5EF4-FFF2-40B4-BE49-F238E27FC236}">
              <a16:creationId xmlns:a16="http://schemas.microsoft.com/office/drawing/2014/main" id="{D9DAF369-FD2E-45C9-97AB-917F35607EAB}"/>
            </a:ext>
          </a:extLst>
        </cdr:cNvPr>
        <cdr:cNvSpPr txBox="1"/>
      </cdr:nvSpPr>
      <cdr:spPr>
        <a:xfrm xmlns:a="http://schemas.openxmlformats.org/drawingml/2006/main">
          <a:off x="8442961" y="1518081"/>
          <a:ext cx="1771704" cy="272610"/>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tx1"/>
              </a:solidFill>
              <a:effectLst/>
              <a:latin typeface="Calibri Light" panose="020F0302020204030204" pitchFamily="34" charset="0"/>
              <a:ea typeface="Calibri Light" panose="020F0302020204030204" pitchFamily="34" charset="0"/>
              <a:cs typeface="Calibri Light" panose="020F0302020204030204" pitchFamily="34" charset="0"/>
            </a:rPr>
            <a:t>Patriot missile </a:t>
          </a:r>
          <a:r>
            <a:rPr lang="en-US" sz="1400" baseline="0">
              <a:solidFill>
                <a:schemeClr val="tx1"/>
              </a:solidFill>
              <a:effectLst/>
              <a:latin typeface="Calibri Light" panose="020F0302020204030204" pitchFamily="34" charset="0"/>
              <a:ea typeface="Calibri Light" panose="020F0302020204030204" pitchFamily="34" charset="0"/>
              <a:cs typeface="Calibri Light" panose="020F0302020204030204" pitchFamily="34" charset="0"/>
            </a:rPr>
            <a:t>- </a:t>
          </a:r>
          <a:r>
            <a:rPr lang="en-US" sz="1400">
              <a:solidFill>
                <a:schemeClr val="tx1"/>
              </a:solidFill>
              <a:effectLst/>
              <a:latin typeface="Calibri Light" panose="020F0302020204030204" pitchFamily="34" charset="0"/>
              <a:ea typeface="Calibri Light" panose="020F0302020204030204" pitchFamily="34" charset="0"/>
              <a:cs typeface="Calibri Light" panose="020F0302020204030204" pitchFamily="34" charset="0"/>
            </a:rPr>
            <a:t>€3 bn</a:t>
          </a:r>
        </a:p>
        <a:p xmlns:a="http://schemas.openxmlformats.org/drawingml/2006/main">
          <a:endParaRPr lang="en-US" sz="1100"/>
        </a:p>
      </cdr:txBody>
    </cdr:sp>
  </cdr:relSizeAnchor>
  <cdr:relSizeAnchor xmlns:cdr="http://schemas.openxmlformats.org/drawingml/2006/chartDrawing">
    <cdr:from>
      <cdr:x>0.81376</cdr:x>
      <cdr:y>0.28571</cdr:y>
    </cdr:from>
    <cdr:to>
      <cdr:x>0.84628</cdr:x>
      <cdr:y>0.39312</cdr:y>
    </cdr:to>
    <cdr:cxnSp macro="">
      <cdr:nvCxnSpPr>
        <cdr:cNvPr id="27" name="Straight Arrow Connector 26">
          <a:extLst xmlns:a="http://schemas.openxmlformats.org/drawingml/2006/main">
            <a:ext uri="{FF2B5EF4-FFF2-40B4-BE49-F238E27FC236}">
              <a16:creationId xmlns:a16="http://schemas.microsoft.com/office/drawing/2014/main" id="{7A710D46-E7C4-9479-BD3C-FE2886225255}"/>
            </a:ext>
          </a:extLst>
        </cdr:cNvPr>
        <cdr:cNvCxnSpPr/>
      </cdr:nvCxnSpPr>
      <cdr:spPr>
        <a:xfrm xmlns:a="http://schemas.openxmlformats.org/drawingml/2006/main">
          <a:off x="9822160" y="1828773"/>
          <a:ext cx="392519" cy="687509"/>
        </a:xfrm>
        <a:prstGeom xmlns:a="http://schemas.openxmlformats.org/drawingml/2006/main" prst="straightConnector1">
          <a:avLst/>
        </a:prstGeom>
        <a:ln xmlns:a="http://schemas.openxmlformats.org/drawingml/2006/main">
          <a:tailEnd type="triangle"/>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44.xml><?xml version="1.0" encoding="utf-8"?>
<xdr:wsDr xmlns:xdr="http://schemas.openxmlformats.org/drawingml/2006/spreadsheetDrawing" xmlns:a="http://schemas.openxmlformats.org/drawingml/2006/main">
  <xdr:twoCellAnchor>
    <xdr:from>
      <xdr:col>7</xdr:col>
      <xdr:colOff>0</xdr:colOff>
      <xdr:row>5</xdr:row>
      <xdr:rowOff>7620</xdr:rowOff>
    </xdr:from>
    <xdr:to>
      <xdr:col>25</xdr:col>
      <xdr:colOff>7620</xdr:colOff>
      <xdr:row>36</xdr:row>
      <xdr:rowOff>190500</xdr:rowOff>
    </xdr:to>
    <xdr:graphicFrame macro="">
      <xdr:nvGraphicFramePr>
        <xdr:cNvPr id="2" name="Chart 1">
          <a:extLst>
            <a:ext uri="{FF2B5EF4-FFF2-40B4-BE49-F238E27FC236}">
              <a16:creationId xmlns:a16="http://schemas.microsoft.com/office/drawing/2014/main" id="{8418DC06-58AF-4C7F-825F-5530337052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5.xml><?xml version="1.0" encoding="utf-8"?>
<c:userShapes xmlns:c="http://schemas.openxmlformats.org/drawingml/2006/chart">
  <cdr:relSizeAnchor xmlns:cdr="http://schemas.openxmlformats.org/drawingml/2006/chartDrawing">
    <cdr:from>
      <cdr:x>0.04077</cdr:x>
      <cdr:y>0.09572</cdr:y>
    </cdr:from>
    <cdr:to>
      <cdr:x>0.15899</cdr:x>
      <cdr:y>0.18951</cdr:y>
    </cdr:to>
    <cdr:sp macro="" textlink="">
      <cdr:nvSpPr>
        <cdr:cNvPr id="3" name="TextBox 19">
          <a:extLst xmlns:a="http://schemas.openxmlformats.org/drawingml/2006/main">
            <a:ext uri="{FF2B5EF4-FFF2-40B4-BE49-F238E27FC236}">
              <a16:creationId xmlns:a16="http://schemas.microsoft.com/office/drawing/2014/main" id="{A2DED420-FAA1-BDF2-3E41-D437B3BA1BFF}"/>
            </a:ext>
          </a:extLst>
        </cdr:cNvPr>
        <cdr:cNvSpPr txBox="1"/>
      </cdr:nvSpPr>
      <cdr:spPr>
        <a:xfrm xmlns:a="http://schemas.openxmlformats.org/drawingml/2006/main">
          <a:off x="492364" y="611934"/>
          <a:ext cx="1427876" cy="599646"/>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600">
              <a:latin typeface="Calibri Light" panose="020F0302020204030204" pitchFamily="34" charset="0"/>
              <a:ea typeface="Calibri Light" panose="020F0302020204030204" pitchFamily="34" charset="0"/>
              <a:cs typeface="Calibri Light" panose="020F0302020204030204" pitchFamily="34" charset="0"/>
            </a:rPr>
            <a:t>billion Euros</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600">
              <a:latin typeface="Calibri Light" panose="020F0302020204030204" pitchFamily="34" charset="0"/>
              <a:ea typeface="Calibri Light" panose="020F0302020204030204" pitchFamily="34" charset="0"/>
              <a:cs typeface="Calibri Light" panose="020F0302020204030204" pitchFamily="34" charset="0"/>
            </a:rPr>
            <a:t>Total: </a:t>
          </a:r>
          <a:r>
            <a:rPr lang="en-US" sz="16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€8.4 bn</a:t>
          </a:r>
          <a:endParaRPr lang="en-US" sz="16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r>
            <a:rPr lang="en-US" sz="1100">
              <a:latin typeface="Times New Roman" panose="02020603050405020304" pitchFamily="18" charset="0"/>
              <a:cs typeface="Times New Roman" panose="02020603050405020304" pitchFamily="18" charset="0"/>
            </a:rPr>
            <a:t> </a:t>
          </a: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0.70158</cdr:x>
      <cdr:y>0.19585</cdr:y>
    </cdr:from>
    <cdr:to>
      <cdr:x>0.81224</cdr:x>
      <cdr:y>0.23599</cdr:y>
    </cdr:to>
    <cdr:sp macro="" textlink="">
      <cdr:nvSpPr>
        <cdr:cNvPr id="19" name="TextBox 9">
          <a:extLst xmlns:a="http://schemas.openxmlformats.org/drawingml/2006/main">
            <a:ext uri="{FF2B5EF4-FFF2-40B4-BE49-F238E27FC236}">
              <a16:creationId xmlns:a16="http://schemas.microsoft.com/office/drawing/2014/main" id="{D9DAF369-FD2E-45C9-97AB-917F35607EAB}"/>
            </a:ext>
          </a:extLst>
        </cdr:cNvPr>
        <cdr:cNvSpPr txBox="1"/>
      </cdr:nvSpPr>
      <cdr:spPr>
        <a:xfrm xmlns:a="http://schemas.openxmlformats.org/drawingml/2006/main">
          <a:off x="8473440" y="1252114"/>
          <a:ext cx="1336574" cy="256623"/>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Arrow</a:t>
          </a:r>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3</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a:t>
          </a:r>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€4 bn</a:t>
          </a:r>
          <a:endParaRPr lang="en-US" sz="14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p>
      </cdr:txBody>
    </cdr:sp>
  </cdr:relSizeAnchor>
  <cdr:relSizeAnchor xmlns:cdr="http://schemas.openxmlformats.org/drawingml/2006/chartDrawing">
    <cdr:from>
      <cdr:x>0.77758</cdr:x>
      <cdr:y>0.23694</cdr:y>
    </cdr:from>
    <cdr:to>
      <cdr:x>0.81287</cdr:x>
      <cdr:y>0.36733</cdr:y>
    </cdr:to>
    <cdr:cxnSp macro="">
      <cdr:nvCxnSpPr>
        <cdr:cNvPr id="27" name="Straight Arrow Connector 26">
          <a:extLst xmlns:a="http://schemas.openxmlformats.org/drawingml/2006/main">
            <a:ext uri="{FF2B5EF4-FFF2-40B4-BE49-F238E27FC236}">
              <a16:creationId xmlns:a16="http://schemas.microsoft.com/office/drawing/2014/main" id="{7A710D46-E7C4-9479-BD3C-FE2886225255}"/>
            </a:ext>
          </a:extLst>
        </cdr:cNvPr>
        <cdr:cNvCxnSpPr/>
      </cdr:nvCxnSpPr>
      <cdr:spPr>
        <a:xfrm xmlns:a="http://schemas.openxmlformats.org/drawingml/2006/main">
          <a:off x="9391423" y="1514798"/>
          <a:ext cx="426222" cy="833607"/>
        </a:xfrm>
        <a:prstGeom xmlns:a="http://schemas.openxmlformats.org/drawingml/2006/main" prst="straightConnector1">
          <a:avLst/>
        </a:prstGeom>
        <a:ln xmlns:a="http://schemas.openxmlformats.org/drawingml/2006/main">
          <a:tailEnd type="triangle"/>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0.83344</cdr:x>
      <cdr:y>0.54828</cdr:y>
    </cdr:from>
    <cdr:to>
      <cdr:x>0.947</cdr:x>
      <cdr:y>0.59023</cdr:y>
    </cdr:to>
    <cdr:sp macro="" textlink="">
      <cdr:nvSpPr>
        <cdr:cNvPr id="5" name="TextBox 9">
          <a:extLst xmlns:a="http://schemas.openxmlformats.org/drawingml/2006/main">
            <a:ext uri="{FF2B5EF4-FFF2-40B4-BE49-F238E27FC236}">
              <a16:creationId xmlns:a16="http://schemas.microsoft.com/office/drawing/2014/main" id="{2E4138CA-5267-3D27-020D-2D911EEEEAFD}"/>
            </a:ext>
          </a:extLst>
        </cdr:cNvPr>
        <cdr:cNvSpPr txBox="1"/>
      </cdr:nvSpPr>
      <cdr:spPr>
        <a:xfrm xmlns:a="http://schemas.openxmlformats.org/drawingml/2006/main">
          <a:off x="10066020" y="3505226"/>
          <a:ext cx="1371600" cy="268194"/>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Patriot </a:t>
          </a:r>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€1.4 bn</a:t>
          </a:r>
          <a:endParaRPr lang="en-US" sz="14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p>
      </cdr:txBody>
    </cdr:sp>
  </cdr:relSizeAnchor>
  <cdr:relSizeAnchor xmlns:cdr="http://schemas.openxmlformats.org/drawingml/2006/chartDrawing">
    <cdr:from>
      <cdr:x>0.88201</cdr:x>
      <cdr:y>0.49064</cdr:y>
    </cdr:from>
    <cdr:to>
      <cdr:x>1</cdr:x>
      <cdr:y>0.53278</cdr:y>
    </cdr:to>
    <cdr:sp macro="" textlink="">
      <cdr:nvSpPr>
        <cdr:cNvPr id="6" name="TextBox 9">
          <a:extLst xmlns:a="http://schemas.openxmlformats.org/drawingml/2006/main">
            <a:ext uri="{FF2B5EF4-FFF2-40B4-BE49-F238E27FC236}">
              <a16:creationId xmlns:a16="http://schemas.microsoft.com/office/drawing/2014/main" id="{B6033C0F-02C2-4908-241C-14869792AD8B}"/>
            </a:ext>
          </a:extLst>
        </cdr:cNvPr>
        <cdr:cNvSpPr txBox="1"/>
      </cdr:nvSpPr>
      <cdr:spPr>
        <a:xfrm xmlns:a="http://schemas.openxmlformats.org/drawingml/2006/main">
          <a:off x="10652704" y="3136718"/>
          <a:ext cx="1424996" cy="269409"/>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Patriot </a:t>
          </a:r>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€1.4 bn</a:t>
          </a:r>
          <a:endParaRPr lang="en-US" sz="14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p>
      </cdr:txBody>
    </cdr:sp>
  </cdr:relSizeAnchor>
  <cdr:relSizeAnchor xmlns:cdr="http://schemas.openxmlformats.org/drawingml/2006/chartDrawing">
    <cdr:from>
      <cdr:x>0.89022</cdr:x>
      <cdr:y>0.59023</cdr:y>
    </cdr:from>
    <cdr:to>
      <cdr:x>0.89983</cdr:x>
      <cdr:y>0.65037</cdr:y>
    </cdr:to>
    <cdr:cxnSp macro="">
      <cdr:nvCxnSpPr>
        <cdr:cNvPr id="7" name="Straight Arrow Connector 6">
          <a:extLst xmlns:a="http://schemas.openxmlformats.org/drawingml/2006/main">
            <a:ext uri="{FF2B5EF4-FFF2-40B4-BE49-F238E27FC236}">
              <a16:creationId xmlns:a16="http://schemas.microsoft.com/office/drawing/2014/main" id="{C57CA31E-2832-EB1C-AF07-B20609F90167}"/>
            </a:ext>
          </a:extLst>
        </cdr:cNvPr>
        <cdr:cNvCxnSpPr>
          <a:stCxn xmlns:a="http://schemas.openxmlformats.org/drawingml/2006/main" id="5" idx="2"/>
        </cdr:cNvCxnSpPr>
      </cdr:nvCxnSpPr>
      <cdr:spPr>
        <a:xfrm xmlns:a="http://schemas.openxmlformats.org/drawingml/2006/main">
          <a:off x="10751820" y="3773420"/>
          <a:ext cx="116036" cy="384486"/>
        </a:xfrm>
        <a:prstGeom xmlns:a="http://schemas.openxmlformats.org/drawingml/2006/main" prst="straightConnector1">
          <a:avLst/>
        </a:prstGeom>
        <a:ln xmlns:a="http://schemas.openxmlformats.org/drawingml/2006/main">
          <a:tailEnd type="triangle"/>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0.89022</cdr:x>
      <cdr:y>0.59023</cdr:y>
    </cdr:from>
    <cdr:to>
      <cdr:x>0.89899</cdr:x>
      <cdr:y>0.763</cdr:y>
    </cdr:to>
    <cdr:cxnSp macro="">
      <cdr:nvCxnSpPr>
        <cdr:cNvPr id="8" name="Straight Arrow Connector 7">
          <a:extLst xmlns:a="http://schemas.openxmlformats.org/drawingml/2006/main">
            <a:ext uri="{FF2B5EF4-FFF2-40B4-BE49-F238E27FC236}">
              <a16:creationId xmlns:a16="http://schemas.microsoft.com/office/drawing/2014/main" id="{C57CA31E-2832-EB1C-AF07-B20609F90167}"/>
            </a:ext>
          </a:extLst>
        </cdr:cNvPr>
        <cdr:cNvCxnSpPr>
          <a:stCxn xmlns:a="http://schemas.openxmlformats.org/drawingml/2006/main" id="5" idx="2"/>
        </cdr:cNvCxnSpPr>
      </cdr:nvCxnSpPr>
      <cdr:spPr>
        <a:xfrm xmlns:a="http://schemas.openxmlformats.org/drawingml/2006/main">
          <a:off x="10751820" y="3773420"/>
          <a:ext cx="105891" cy="1104550"/>
        </a:xfrm>
        <a:prstGeom xmlns:a="http://schemas.openxmlformats.org/drawingml/2006/main" prst="straightConnector1">
          <a:avLst/>
        </a:prstGeom>
        <a:ln xmlns:a="http://schemas.openxmlformats.org/drawingml/2006/main">
          <a:tailEnd type="triangle"/>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0.94101</cdr:x>
      <cdr:y>0.53278</cdr:y>
    </cdr:from>
    <cdr:to>
      <cdr:x>0.96535</cdr:x>
      <cdr:y>0.70255</cdr:y>
    </cdr:to>
    <cdr:cxnSp macro="">
      <cdr:nvCxnSpPr>
        <cdr:cNvPr id="17" name="Straight Arrow Connector 16">
          <a:extLst xmlns:a="http://schemas.openxmlformats.org/drawingml/2006/main">
            <a:ext uri="{FF2B5EF4-FFF2-40B4-BE49-F238E27FC236}">
              <a16:creationId xmlns:a16="http://schemas.microsoft.com/office/drawing/2014/main" id="{94DC90EA-A294-D9D0-3DF5-A6BF950697BE}"/>
            </a:ext>
          </a:extLst>
        </cdr:cNvPr>
        <cdr:cNvCxnSpPr>
          <a:stCxn xmlns:a="http://schemas.openxmlformats.org/drawingml/2006/main" id="6" idx="2"/>
        </cdr:cNvCxnSpPr>
      </cdr:nvCxnSpPr>
      <cdr:spPr>
        <a:xfrm xmlns:a="http://schemas.openxmlformats.org/drawingml/2006/main">
          <a:off x="11365202" y="3406127"/>
          <a:ext cx="294006" cy="1085370"/>
        </a:xfrm>
        <a:prstGeom xmlns:a="http://schemas.openxmlformats.org/drawingml/2006/main" prst="straightConnector1">
          <a:avLst/>
        </a:prstGeom>
        <a:ln xmlns:a="http://schemas.openxmlformats.org/drawingml/2006/main">
          <a:tailEnd type="triangle"/>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0.94101</cdr:x>
      <cdr:y>0.53278</cdr:y>
    </cdr:from>
    <cdr:to>
      <cdr:x>0.96472</cdr:x>
      <cdr:y>0.62007</cdr:y>
    </cdr:to>
    <cdr:cxnSp macro="">
      <cdr:nvCxnSpPr>
        <cdr:cNvPr id="20" name="Straight Arrow Connector 19">
          <a:extLst xmlns:a="http://schemas.openxmlformats.org/drawingml/2006/main">
            <a:ext uri="{FF2B5EF4-FFF2-40B4-BE49-F238E27FC236}">
              <a16:creationId xmlns:a16="http://schemas.microsoft.com/office/drawing/2014/main" id="{641EC9D0-4AF3-D206-3C21-7C03B4D15426}"/>
            </a:ext>
          </a:extLst>
        </cdr:cNvPr>
        <cdr:cNvCxnSpPr>
          <a:stCxn xmlns:a="http://schemas.openxmlformats.org/drawingml/2006/main" id="6" idx="2"/>
        </cdr:cNvCxnSpPr>
      </cdr:nvCxnSpPr>
      <cdr:spPr>
        <a:xfrm xmlns:a="http://schemas.openxmlformats.org/drawingml/2006/main">
          <a:off x="11365202" y="3406127"/>
          <a:ext cx="286397" cy="558124"/>
        </a:xfrm>
        <a:prstGeom xmlns:a="http://schemas.openxmlformats.org/drawingml/2006/main" prst="straightConnector1">
          <a:avLst/>
        </a:prstGeom>
        <a:ln xmlns:a="http://schemas.openxmlformats.org/drawingml/2006/main">
          <a:tailEnd type="triangle"/>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46.xml><?xml version="1.0" encoding="utf-8"?>
<xdr:wsDr xmlns:xdr="http://schemas.openxmlformats.org/drawingml/2006/spreadsheetDrawing" xmlns:a="http://schemas.openxmlformats.org/drawingml/2006/main">
  <xdr:twoCellAnchor>
    <xdr:from>
      <xdr:col>7</xdr:col>
      <xdr:colOff>0</xdr:colOff>
      <xdr:row>5</xdr:row>
      <xdr:rowOff>0</xdr:rowOff>
    </xdr:from>
    <xdr:to>
      <xdr:col>25</xdr:col>
      <xdr:colOff>0</xdr:colOff>
      <xdr:row>37</xdr:row>
      <xdr:rowOff>0</xdr:rowOff>
    </xdr:to>
    <xdr:graphicFrame macro="">
      <xdr:nvGraphicFramePr>
        <xdr:cNvPr id="2" name="Chart 1">
          <a:extLst>
            <a:ext uri="{FF2B5EF4-FFF2-40B4-BE49-F238E27FC236}">
              <a16:creationId xmlns:a16="http://schemas.microsoft.com/office/drawing/2014/main" id="{4DAD0131-8312-42E9-A499-9B2B33048E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7.xml><?xml version="1.0" encoding="utf-8"?>
<c:userShapes xmlns:c="http://schemas.openxmlformats.org/drawingml/2006/chart">
  <cdr:relSizeAnchor xmlns:cdr="http://schemas.openxmlformats.org/drawingml/2006/chartDrawing">
    <cdr:from>
      <cdr:x>0.03571</cdr:x>
      <cdr:y>0.09293</cdr:y>
    </cdr:from>
    <cdr:to>
      <cdr:x>0.14015</cdr:x>
      <cdr:y>0.18074</cdr:y>
    </cdr:to>
    <cdr:sp macro="" textlink="">
      <cdr:nvSpPr>
        <cdr:cNvPr id="3" name="TextBox 19">
          <a:extLst xmlns:a="http://schemas.openxmlformats.org/drawingml/2006/main">
            <a:ext uri="{FF2B5EF4-FFF2-40B4-BE49-F238E27FC236}">
              <a16:creationId xmlns:a16="http://schemas.microsoft.com/office/drawing/2014/main" id="{A2DED420-FAA1-BDF2-3E41-D437B3BA1BFF}"/>
            </a:ext>
          </a:extLst>
        </cdr:cNvPr>
        <cdr:cNvSpPr txBox="1"/>
      </cdr:nvSpPr>
      <cdr:spPr>
        <a:xfrm xmlns:a="http://schemas.openxmlformats.org/drawingml/2006/main">
          <a:off x="431023" y="595534"/>
          <a:ext cx="1260617" cy="562706"/>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600">
              <a:latin typeface="Calibri Light" panose="020F0302020204030204" pitchFamily="34" charset="0"/>
              <a:ea typeface="Calibri Light" panose="020F0302020204030204" pitchFamily="34" charset="0"/>
              <a:cs typeface="Calibri Light" panose="020F0302020204030204" pitchFamily="34" charset="0"/>
            </a:rPr>
            <a:t>units</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600">
              <a:latin typeface="Calibri Light" panose="020F0302020204030204" pitchFamily="34" charset="0"/>
              <a:ea typeface="Calibri Light" panose="020F0302020204030204" pitchFamily="34" charset="0"/>
              <a:cs typeface="Calibri Light" panose="020F0302020204030204" pitchFamily="34" charset="0"/>
            </a:rPr>
            <a:t>Total: 34</a:t>
          </a:r>
          <a:endParaRPr lang="en-US" sz="16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r>
            <a:rPr lang="en-US" sz="1100">
              <a:latin typeface="Times New Roman" panose="02020603050405020304" pitchFamily="18" charset="0"/>
              <a:cs typeface="Times New Roman" panose="02020603050405020304" pitchFamily="18" charset="0"/>
            </a:rPr>
            <a:t> </a:t>
          </a: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0.76263</cdr:x>
      <cdr:y>0.17067</cdr:y>
    </cdr:from>
    <cdr:to>
      <cdr:x>0.86679</cdr:x>
      <cdr:y>0.21521</cdr:y>
    </cdr:to>
    <cdr:sp macro="" textlink="">
      <cdr:nvSpPr>
        <cdr:cNvPr id="7" name="TextBox 9">
          <a:extLst xmlns:a="http://schemas.openxmlformats.org/drawingml/2006/main">
            <a:ext uri="{FF2B5EF4-FFF2-40B4-BE49-F238E27FC236}">
              <a16:creationId xmlns:a16="http://schemas.microsoft.com/office/drawing/2014/main" id="{26591067-ECD7-9464-C00C-9A10BF0D27F9}"/>
            </a:ext>
          </a:extLst>
        </cdr:cNvPr>
        <cdr:cNvSpPr txBox="1"/>
      </cdr:nvSpPr>
      <cdr:spPr>
        <a:xfrm xmlns:a="http://schemas.openxmlformats.org/drawingml/2006/main">
          <a:off x="9204960" y="1093693"/>
          <a:ext cx="1257290" cy="285495"/>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Skyranger - 19</a:t>
          </a:r>
          <a:endParaRPr lang="en-US" sz="1400">
            <a:latin typeface="Calibri Light" panose="020F0302020204030204" pitchFamily="34" charset="0"/>
            <a:ea typeface="Calibri Light" panose="020F0302020204030204" pitchFamily="34" charset="0"/>
            <a:cs typeface="Calibri Light" panose="020F0302020204030204" pitchFamily="34" charset="0"/>
          </a:endParaRPr>
        </a:p>
      </cdr:txBody>
    </cdr:sp>
  </cdr:relSizeAnchor>
  <cdr:relSizeAnchor xmlns:cdr="http://schemas.openxmlformats.org/drawingml/2006/chartDrawing">
    <cdr:from>
      <cdr:x>0.82862</cdr:x>
      <cdr:y>0.21439</cdr:y>
    </cdr:from>
    <cdr:to>
      <cdr:x>0.86937</cdr:x>
      <cdr:y>0.34493</cdr:y>
    </cdr:to>
    <cdr:cxnSp macro="">
      <cdr:nvCxnSpPr>
        <cdr:cNvPr id="10" name="Straight Arrow Connector 9">
          <a:extLst xmlns:a="http://schemas.openxmlformats.org/drawingml/2006/main">
            <a:ext uri="{FF2B5EF4-FFF2-40B4-BE49-F238E27FC236}">
              <a16:creationId xmlns:a16="http://schemas.microsoft.com/office/drawing/2014/main" id="{2B12905D-2AAF-A4B1-8BCF-40B2BEE8AE73}"/>
            </a:ext>
          </a:extLst>
        </cdr:cNvPr>
        <cdr:cNvCxnSpPr/>
      </cdr:nvCxnSpPr>
      <cdr:spPr>
        <a:xfrm xmlns:a="http://schemas.openxmlformats.org/drawingml/2006/main">
          <a:off x="10001462" y="1373903"/>
          <a:ext cx="491856" cy="836555"/>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0.63636</cdr:x>
      <cdr:y>0.55264</cdr:y>
    </cdr:from>
    <cdr:to>
      <cdr:x>0.73536</cdr:x>
      <cdr:y>0.60166</cdr:y>
    </cdr:to>
    <cdr:sp macro="" textlink="">
      <cdr:nvSpPr>
        <cdr:cNvPr id="4" name="TextBox 9">
          <a:extLst xmlns:a="http://schemas.openxmlformats.org/drawingml/2006/main">
            <a:ext uri="{FF2B5EF4-FFF2-40B4-BE49-F238E27FC236}">
              <a16:creationId xmlns:a16="http://schemas.microsoft.com/office/drawing/2014/main" id="{092D6B17-3D9D-C1F4-5FCC-ADB95CF8F3F1}"/>
            </a:ext>
          </a:extLst>
        </cdr:cNvPr>
        <cdr:cNvSpPr txBox="1"/>
      </cdr:nvSpPr>
      <cdr:spPr>
        <a:xfrm xmlns:a="http://schemas.openxmlformats.org/drawingml/2006/main">
          <a:off x="7680961" y="3541538"/>
          <a:ext cx="1194898" cy="314182"/>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Iris-T SLM - 6</a:t>
          </a:r>
          <a:endParaRPr lang="en-US" sz="1400">
            <a:latin typeface="Calibri Light" panose="020F0302020204030204" pitchFamily="34" charset="0"/>
            <a:ea typeface="Calibri Light" panose="020F0302020204030204" pitchFamily="34" charset="0"/>
            <a:cs typeface="Calibri Light" panose="020F0302020204030204" pitchFamily="34" charset="0"/>
          </a:endParaRPr>
        </a:p>
      </cdr:txBody>
    </cdr:sp>
  </cdr:relSizeAnchor>
  <cdr:relSizeAnchor xmlns:cdr="http://schemas.openxmlformats.org/drawingml/2006/chartDrawing">
    <cdr:from>
      <cdr:x>0.69419</cdr:x>
      <cdr:y>0.59445</cdr:y>
    </cdr:from>
    <cdr:to>
      <cdr:x>0.73494</cdr:x>
      <cdr:y>0.72499</cdr:y>
    </cdr:to>
    <cdr:cxnSp macro="">
      <cdr:nvCxnSpPr>
        <cdr:cNvPr id="5" name="Straight Arrow Connector 4">
          <a:extLst xmlns:a="http://schemas.openxmlformats.org/drawingml/2006/main">
            <a:ext uri="{FF2B5EF4-FFF2-40B4-BE49-F238E27FC236}">
              <a16:creationId xmlns:a16="http://schemas.microsoft.com/office/drawing/2014/main" id="{668DCE7B-A4A6-A671-7E71-DC50EDFF8588}"/>
            </a:ext>
          </a:extLst>
        </cdr:cNvPr>
        <cdr:cNvCxnSpPr/>
      </cdr:nvCxnSpPr>
      <cdr:spPr>
        <a:xfrm xmlns:a="http://schemas.openxmlformats.org/drawingml/2006/main">
          <a:off x="8378897" y="3809468"/>
          <a:ext cx="491856" cy="836555"/>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0.75594</cdr:x>
      <cdr:y>0.70792</cdr:y>
    </cdr:from>
    <cdr:to>
      <cdr:x>0.84091</cdr:x>
      <cdr:y>0.75309</cdr:y>
    </cdr:to>
    <cdr:sp macro="" textlink="">
      <cdr:nvSpPr>
        <cdr:cNvPr id="6" name="TextBox 3">
          <a:extLst xmlns:a="http://schemas.openxmlformats.org/drawingml/2006/main">
            <a:ext uri="{FF2B5EF4-FFF2-40B4-BE49-F238E27FC236}">
              <a16:creationId xmlns:a16="http://schemas.microsoft.com/office/drawing/2014/main" id="{87F22FD6-CE2B-4C1E-D276-24DB47BA188D}"/>
            </a:ext>
          </a:extLst>
        </cdr:cNvPr>
        <cdr:cNvSpPr txBox="1"/>
      </cdr:nvSpPr>
      <cdr:spPr>
        <a:xfrm xmlns:a="http://schemas.openxmlformats.org/drawingml/2006/main">
          <a:off x="9124262" y="4536633"/>
          <a:ext cx="1025578" cy="289468"/>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Arrow 3 - 1</a:t>
          </a:r>
        </a:p>
      </cdr:txBody>
    </cdr:sp>
  </cdr:relSizeAnchor>
  <cdr:relSizeAnchor xmlns:cdr="http://schemas.openxmlformats.org/drawingml/2006/chartDrawing">
    <cdr:from>
      <cdr:x>0.7864</cdr:x>
      <cdr:y>0.74768</cdr:y>
    </cdr:from>
    <cdr:to>
      <cdr:x>0.80173</cdr:x>
      <cdr:y>0.80904</cdr:y>
    </cdr:to>
    <cdr:cxnSp macro="">
      <cdr:nvCxnSpPr>
        <cdr:cNvPr id="8" name="Straight Arrow Connector 7">
          <a:extLst xmlns:a="http://schemas.openxmlformats.org/drawingml/2006/main">
            <a:ext uri="{FF2B5EF4-FFF2-40B4-BE49-F238E27FC236}">
              <a16:creationId xmlns:a16="http://schemas.microsoft.com/office/drawing/2014/main" id="{24222FB8-F431-DF4C-4578-20BD43F3A5F5}"/>
            </a:ext>
          </a:extLst>
        </cdr:cNvPr>
        <cdr:cNvCxnSpPr/>
      </cdr:nvCxnSpPr>
      <cdr:spPr>
        <a:xfrm xmlns:a="http://schemas.openxmlformats.org/drawingml/2006/main">
          <a:off x="9491863" y="4791438"/>
          <a:ext cx="185035" cy="393221"/>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0.89394</cdr:x>
      <cdr:y>0.57585</cdr:y>
    </cdr:from>
    <cdr:to>
      <cdr:x>0.97348</cdr:x>
      <cdr:y>0.61758</cdr:y>
    </cdr:to>
    <cdr:sp macro="" textlink="">
      <cdr:nvSpPr>
        <cdr:cNvPr id="12" name="TextBox 1">
          <a:extLst xmlns:a="http://schemas.openxmlformats.org/drawingml/2006/main">
            <a:ext uri="{FF2B5EF4-FFF2-40B4-BE49-F238E27FC236}">
              <a16:creationId xmlns:a16="http://schemas.microsoft.com/office/drawing/2014/main" id="{05AE9219-9A34-BE01-FE30-99FB8ED13E4E}"/>
            </a:ext>
          </a:extLst>
        </cdr:cNvPr>
        <cdr:cNvSpPr txBox="1"/>
      </cdr:nvSpPr>
      <cdr:spPr>
        <a:xfrm xmlns:a="http://schemas.openxmlformats.org/drawingml/2006/main">
          <a:off x="10789974" y="3690279"/>
          <a:ext cx="960065" cy="267423"/>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Patriot - 4</a:t>
          </a:r>
          <a:endParaRPr lang="en-US" sz="1400">
            <a:latin typeface="Calibri Light" panose="020F0302020204030204" pitchFamily="34" charset="0"/>
            <a:ea typeface="Calibri Light" panose="020F0302020204030204" pitchFamily="34" charset="0"/>
            <a:cs typeface="Calibri Light" panose="020F0302020204030204" pitchFamily="34" charset="0"/>
          </a:endParaRPr>
        </a:p>
      </cdr:txBody>
    </cdr:sp>
  </cdr:relSizeAnchor>
  <cdr:relSizeAnchor xmlns:cdr="http://schemas.openxmlformats.org/drawingml/2006/chartDrawing">
    <cdr:from>
      <cdr:x>0.90235</cdr:x>
      <cdr:y>0.6088</cdr:y>
    </cdr:from>
    <cdr:to>
      <cdr:x>0.92803</cdr:x>
      <cdr:y>0.68868</cdr:y>
    </cdr:to>
    <cdr:cxnSp macro="">
      <cdr:nvCxnSpPr>
        <cdr:cNvPr id="13" name="Straight Arrow Connector 12">
          <a:extLst xmlns:a="http://schemas.openxmlformats.org/drawingml/2006/main">
            <a:ext uri="{FF2B5EF4-FFF2-40B4-BE49-F238E27FC236}">
              <a16:creationId xmlns:a16="http://schemas.microsoft.com/office/drawing/2014/main" id="{56A10368-4D0A-2B4E-B0E7-439FBD3BD228}"/>
            </a:ext>
          </a:extLst>
        </cdr:cNvPr>
        <cdr:cNvCxnSpPr/>
      </cdr:nvCxnSpPr>
      <cdr:spPr>
        <a:xfrm xmlns:a="http://schemas.openxmlformats.org/drawingml/2006/main" flipH="1">
          <a:off x="10891443" y="3901415"/>
          <a:ext cx="309959" cy="511904"/>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0.92361</cdr:x>
      <cdr:y>0.62775</cdr:y>
    </cdr:from>
    <cdr:to>
      <cdr:x>1</cdr:x>
      <cdr:y>0.6742</cdr:y>
    </cdr:to>
    <cdr:sp macro="" textlink="">
      <cdr:nvSpPr>
        <cdr:cNvPr id="9" name="TextBox 1">
          <a:extLst xmlns:a="http://schemas.openxmlformats.org/drawingml/2006/main">
            <a:ext uri="{FF2B5EF4-FFF2-40B4-BE49-F238E27FC236}">
              <a16:creationId xmlns:a16="http://schemas.microsoft.com/office/drawing/2014/main" id="{335CFE2E-062A-6EDB-0B3F-7738B5DAB5E9}"/>
            </a:ext>
          </a:extLst>
        </cdr:cNvPr>
        <cdr:cNvSpPr txBox="1"/>
      </cdr:nvSpPr>
      <cdr:spPr>
        <a:xfrm xmlns:a="http://schemas.openxmlformats.org/drawingml/2006/main">
          <a:off x="11148060" y="4022878"/>
          <a:ext cx="922020" cy="297661"/>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Patriot - 4</a:t>
          </a:r>
          <a:endParaRPr lang="en-US" sz="1400">
            <a:latin typeface="Calibri Light" panose="020F0302020204030204" pitchFamily="34" charset="0"/>
            <a:ea typeface="Calibri Light" panose="020F0302020204030204" pitchFamily="34" charset="0"/>
            <a:cs typeface="Calibri Light" panose="020F0302020204030204" pitchFamily="34" charset="0"/>
          </a:endParaRPr>
        </a:p>
      </cdr:txBody>
    </cdr:sp>
  </cdr:relSizeAnchor>
  <cdr:relSizeAnchor xmlns:cdr="http://schemas.openxmlformats.org/drawingml/2006/chartDrawing">
    <cdr:from>
      <cdr:x>0.93623</cdr:x>
      <cdr:y>0.66588</cdr:y>
    </cdr:from>
    <cdr:to>
      <cdr:x>0.95391</cdr:x>
      <cdr:y>0.71582</cdr:y>
    </cdr:to>
    <cdr:cxnSp macro="">
      <cdr:nvCxnSpPr>
        <cdr:cNvPr id="11" name="Straight Arrow Connector 10">
          <a:extLst xmlns:a="http://schemas.openxmlformats.org/drawingml/2006/main">
            <a:ext uri="{FF2B5EF4-FFF2-40B4-BE49-F238E27FC236}">
              <a16:creationId xmlns:a16="http://schemas.microsoft.com/office/drawing/2014/main" id="{C428FE2E-4DEE-413F-F1EC-307D26BDE111}"/>
            </a:ext>
          </a:extLst>
        </cdr:cNvPr>
        <cdr:cNvCxnSpPr/>
      </cdr:nvCxnSpPr>
      <cdr:spPr>
        <a:xfrm xmlns:a="http://schemas.openxmlformats.org/drawingml/2006/main">
          <a:off x="11300428" y="4267231"/>
          <a:ext cx="213399" cy="320037"/>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userShapes>
</file>

<file path=xl/drawings/drawing48.xml><?xml version="1.0" encoding="utf-8"?>
<xdr:wsDr xmlns:xdr="http://schemas.openxmlformats.org/drawingml/2006/spreadsheetDrawing" xmlns:a="http://schemas.openxmlformats.org/drawingml/2006/main">
  <xdr:twoCellAnchor>
    <xdr:from>
      <xdr:col>7</xdr:col>
      <xdr:colOff>0</xdr:colOff>
      <xdr:row>5</xdr:row>
      <xdr:rowOff>0</xdr:rowOff>
    </xdr:from>
    <xdr:to>
      <xdr:col>25</xdr:col>
      <xdr:colOff>0</xdr:colOff>
      <xdr:row>37</xdr:row>
      <xdr:rowOff>0</xdr:rowOff>
    </xdr:to>
    <xdr:graphicFrame macro="">
      <xdr:nvGraphicFramePr>
        <xdr:cNvPr id="2" name="Chart 1">
          <a:extLst>
            <a:ext uri="{FF2B5EF4-FFF2-40B4-BE49-F238E27FC236}">
              <a16:creationId xmlns:a16="http://schemas.microsoft.com/office/drawing/2014/main" id="{778DF540-EADA-4196-A6F4-D47C995A2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9.xml><?xml version="1.0" encoding="utf-8"?>
<c:userShapes xmlns:c="http://schemas.openxmlformats.org/drawingml/2006/chart">
  <cdr:relSizeAnchor xmlns:cdr="http://schemas.openxmlformats.org/drawingml/2006/chartDrawing">
    <cdr:from>
      <cdr:x>0.04545</cdr:x>
      <cdr:y>0.12114</cdr:y>
    </cdr:from>
    <cdr:to>
      <cdr:x>0.1654</cdr:x>
      <cdr:y>0.19857</cdr:y>
    </cdr:to>
    <cdr:sp macro="" textlink="">
      <cdr:nvSpPr>
        <cdr:cNvPr id="3" name="TextBox 19">
          <a:extLst xmlns:a="http://schemas.openxmlformats.org/drawingml/2006/main">
            <a:ext uri="{FF2B5EF4-FFF2-40B4-BE49-F238E27FC236}">
              <a16:creationId xmlns:a16="http://schemas.microsoft.com/office/drawing/2014/main" id="{A2DED420-FAA1-BDF2-3E41-D437B3BA1BFF}"/>
            </a:ext>
          </a:extLst>
        </cdr:cNvPr>
        <cdr:cNvSpPr txBox="1"/>
      </cdr:nvSpPr>
      <cdr:spPr>
        <a:xfrm xmlns:a="http://schemas.openxmlformats.org/drawingml/2006/main">
          <a:off x="548640" y="776330"/>
          <a:ext cx="1447800" cy="496204"/>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600">
              <a:latin typeface="Calibri Light" panose="020F0302020204030204" pitchFamily="34" charset="0"/>
              <a:ea typeface="Calibri Light" panose="020F0302020204030204" pitchFamily="34" charset="0"/>
              <a:cs typeface="Calibri Light" panose="020F0302020204030204" pitchFamily="34" charset="0"/>
            </a:rPr>
            <a:t>billion Euros</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600">
              <a:latin typeface="Calibri Light" panose="020F0302020204030204" pitchFamily="34" charset="0"/>
              <a:ea typeface="Calibri Light" panose="020F0302020204030204" pitchFamily="34" charset="0"/>
              <a:cs typeface="Calibri Light" panose="020F0302020204030204" pitchFamily="34" charset="0"/>
            </a:rPr>
            <a:t>Total: </a:t>
          </a:r>
          <a:r>
            <a:rPr lang="en-US" sz="16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€8.2 bn</a:t>
          </a:r>
          <a:endParaRPr lang="en-US" sz="16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r>
            <a:rPr lang="en-US" sz="1100">
              <a:latin typeface="Times New Roman" panose="02020603050405020304" pitchFamily="18" charset="0"/>
              <a:cs typeface="Times New Roman" panose="02020603050405020304" pitchFamily="18" charset="0"/>
            </a:rPr>
            <a:t> </a:t>
          </a: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0.74053</cdr:x>
      <cdr:y>0.24446</cdr:y>
    </cdr:from>
    <cdr:to>
      <cdr:x>0.89731</cdr:x>
      <cdr:y>0.31273</cdr:y>
    </cdr:to>
    <cdr:sp macro="" textlink="">
      <cdr:nvSpPr>
        <cdr:cNvPr id="19" name="TextBox 9">
          <a:extLst xmlns:a="http://schemas.openxmlformats.org/drawingml/2006/main">
            <a:ext uri="{FF2B5EF4-FFF2-40B4-BE49-F238E27FC236}">
              <a16:creationId xmlns:a16="http://schemas.microsoft.com/office/drawing/2014/main" id="{D9DAF369-FD2E-45C9-97AB-917F35607EAB}"/>
            </a:ext>
          </a:extLst>
        </cdr:cNvPr>
        <cdr:cNvSpPr txBox="1"/>
      </cdr:nvSpPr>
      <cdr:spPr>
        <a:xfrm xmlns:a="http://schemas.openxmlformats.org/drawingml/2006/main">
          <a:off x="8938261" y="1566583"/>
          <a:ext cx="1892356" cy="437502"/>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Heavy infantry weapon carrier -</a:t>
          </a:r>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€1.9 bn</a:t>
          </a:r>
          <a:endParaRPr lang="en-US" sz="14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p>
      </cdr:txBody>
    </cdr:sp>
  </cdr:relSizeAnchor>
  <cdr:relSizeAnchor xmlns:cdr="http://schemas.openxmlformats.org/drawingml/2006/chartDrawing">
    <cdr:from>
      <cdr:x>0.8548</cdr:x>
      <cdr:y>0.31034</cdr:y>
    </cdr:from>
    <cdr:to>
      <cdr:x>0.89795</cdr:x>
      <cdr:y>0.39698</cdr:y>
    </cdr:to>
    <cdr:cxnSp macro="">
      <cdr:nvCxnSpPr>
        <cdr:cNvPr id="27" name="Straight Arrow Connector 26">
          <a:extLst xmlns:a="http://schemas.openxmlformats.org/drawingml/2006/main">
            <a:ext uri="{FF2B5EF4-FFF2-40B4-BE49-F238E27FC236}">
              <a16:creationId xmlns:a16="http://schemas.microsoft.com/office/drawing/2014/main" id="{7A710D46-E7C4-9479-BD3C-FE2886225255}"/>
            </a:ext>
          </a:extLst>
        </cdr:cNvPr>
        <cdr:cNvCxnSpPr/>
      </cdr:nvCxnSpPr>
      <cdr:spPr>
        <a:xfrm xmlns:a="http://schemas.openxmlformats.org/drawingml/2006/main">
          <a:off x="10317532" y="1988809"/>
          <a:ext cx="520824" cy="555226"/>
        </a:xfrm>
        <a:prstGeom xmlns:a="http://schemas.openxmlformats.org/drawingml/2006/main" prst="straightConnector1">
          <a:avLst/>
        </a:prstGeom>
        <a:ln xmlns:a="http://schemas.openxmlformats.org/drawingml/2006/main">
          <a:tailEnd type="triangle"/>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5.xml><?xml version="1.0" encoding="utf-8"?>
<xdr:wsDr xmlns:xdr="http://schemas.openxmlformats.org/drawingml/2006/spreadsheetDrawing" xmlns:a="http://schemas.openxmlformats.org/drawingml/2006/main">
  <xdr:twoCellAnchor>
    <xdr:from>
      <xdr:col>8</xdr:col>
      <xdr:colOff>7620</xdr:colOff>
      <xdr:row>5</xdr:row>
      <xdr:rowOff>7620</xdr:rowOff>
    </xdr:from>
    <xdr:to>
      <xdr:col>25</xdr:col>
      <xdr:colOff>582311</xdr:colOff>
      <xdr:row>36</xdr:row>
      <xdr:rowOff>190500</xdr:rowOff>
    </xdr:to>
    <xdr:graphicFrame macro="">
      <xdr:nvGraphicFramePr>
        <xdr:cNvPr id="2" name="Chart 1">
          <a:extLst>
            <a:ext uri="{FF2B5EF4-FFF2-40B4-BE49-F238E27FC236}">
              <a16:creationId xmlns:a16="http://schemas.microsoft.com/office/drawing/2014/main" id="{2FEB580D-2CDF-4912-AF5F-D5D9CB81C8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0.xml><?xml version="1.0" encoding="utf-8"?>
<xdr:wsDr xmlns:xdr="http://schemas.openxmlformats.org/drawingml/2006/spreadsheetDrawing" xmlns:a="http://schemas.openxmlformats.org/drawingml/2006/main">
  <xdr:twoCellAnchor>
    <xdr:from>
      <xdr:col>7</xdr:col>
      <xdr:colOff>7620</xdr:colOff>
      <xdr:row>5</xdr:row>
      <xdr:rowOff>7620</xdr:rowOff>
    </xdr:from>
    <xdr:to>
      <xdr:col>24</xdr:col>
      <xdr:colOff>662940</xdr:colOff>
      <xdr:row>36</xdr:row>
      <xdr:rowOff>190500</xdr:rowOff>
    </xdr:to>
    <xdr:graphicFrame macro="">
      <xdr:nvGraphicFramePr>
        <xdr:cNvPr id="2" name="Chart 1">
          <a:extLst>
            <a:ext uri="{FF2B5EF4-FFF2-40B4-BE49-F238E27FC236}">
              <a16:creationId xmlns:a16="http://schemas.microsoft.com/office/drawing/2014/main" id="{0752C094-FD58-4E45-A49E-6E022439A2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1.xml><?xml version="1.0" encoding="utf-8"?>
<c:userShapes xmlns:c="http://schemas.openxmlformats.org/drawingml/2006/chart">
  <cdr:relSizeAnchor xmlns:cdr="http://schemas.openxmlformats.org/drawingml/2006/chartDrawing">
    <cdr:from>
      <cdr:x>0.05973</cdr:x>
      <cdr:y>0.0892</cdr:y>
    </cdr:from>
    <cdr:to>
      <cdr:x>0.15635</cdr:x>
      <cdr:y>0.16805</cdr:y>
    </cdr:to>
    <cdr:sp macro="" textlink="">
      <cdr:nvSpPr>
        <cdr:cNvPr id="3" name="TextBox 19">
          <a:extLst xmlns:a="http://schemas.openxmlformats.org/drawingml/2006/main">
            <a:ext uri="{FF2B5EF4-FFF2-40B4-BE49-F238E27FC236}">
              <a16:creationId xmlns:a16="http://schemas.microsoft.com/office/drawing/2014/main" id="{A2DED420-FAA1-BDF2-3E41-D437B3BA1BFF}"/>
            </a:ext>
          </a:extLst>
        </cdr:cNvPr>
        <cdr:cNvSpPr txBox="1"/>
      </cdr:nvSpPr>
      <cdr:spPr>
        <a:xfrm xmlns:a="http://schemas.openxmlformats.org/drawingml/2006/main">
          <a:off x="719987" y="570294"/>
          <a:ext cx="1164739" cy="504102"/>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600">
              <a:latin typeface="Calibri Light" panose="020F0302020204030204" pitchFamily="34" charset="0"/>
              <a:ea typeface="Calibri Light" panose="020F0302020204030204" pitchFamily="34" charset="0"/>
              <a:cs typeface="Calibri Light" panose="020F0302020204030204" pitchFamily="34" charset="0"/>
            </a:rPr>
            <a:t>units</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600">
              <a:latin typeface="Calibri Light" panose="020F0302020204030204" pitchFamily="34" charset="0"/>
              <a:ea typeface="Calibri Light" panose="020F0302020204030204" pitchFamily="34" charset="0"/>
              <a:cs typeface="Calibri Light" panose="020F0302020204030204" pitchFamily="34" charset="0"/>
            </a:rPr>
            <a:t>Total: 3963</a:t>
          </a:r>
          <a:endParaRPr lang="en-US" sz="16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r>
            <a:rPr lang="en-US" sz="1100">
              <a:latin typeface="Times New Roman" panose="02020603050405020304" pitchFamily="18" charset="0"/>
              <a:cs typeface="Times New Roman" panose="02020603050405020304" pitchFamily="18" charset="0"/>
            </a:rPr>
            <a:t> </a:t>
          </a: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0.65487</cdr:x>
      <cdr:y>0.19178</cdr:y>
    </cdr:from>
    <cdr:to>
      <cdr:x>0.77386</cdr:x>
      <cdr:y>0.25626</cdr:y>
    </cdr:to>
    <cdr:sp macro="" textlink="">
      <cdr:nvSpPr>
        <cdr:cNvPr id="7" name="TextBox 9">
          <a:extLst xmlns:a="http://schemas.openxmlformats.org/drawingml/2006/main">
            <a:ext uri="{FF2B5EF4-FFF2-40B4-BE49-F238E27FC236}">
              <a16:creationId xmlns:a16="http://schemas.microsoft.com/office/drawing/2014/main" id="{26591067-ECD7-9464-C00C-9A10BF0D27F9}"/>
            </a:ext>
          </a:extLst>
        </cdr:cNvPr>
        <cdr:cNvSpPr txBox="1"/>
      </cdr:nvSpPr>
      <cdr:spPr>
        <a:xfrm xmlns:a="http://schemas.openxmlformats.org/drawingml/2006/main">
          <a:off x="7894320" y="1226087"/>
          <a:ext cx="1434497" cy="412233"/>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Caracal airborne vehicle - 1508</a:t>
          </a:r>
          <a:endParaRPr lang="en-US" sz="1400">
            <a:latin typeface="Calibri Light" panose="020F0302020204030204" pitchFamily="34" charset="0"/>
            <a:ea typeface="Calibri Light" panose="020F0302020204030204" pitchFamily="34" charset="0"/>
            <a:cs typeface="Calibri Light" panose="020F0302020204030204" pitchFamily="34" charset="0"/>
          </a:endParaRPr>
        </a:p>
      </cdr:txBody>
    </cdr:sp>
  </cdr:relSizeAnchor>
  <cdr:relSizeAnchor xmlns:cdr="http://schemas.openxmlformats.org/drawingml/2006/chartDrawing">
    <cdr:from>
      <cdr:x>0.72786</cdr:x>
      <cdr:y>0.26785</cdr:y>
    </cdr:from>
    <cdr:to>
      <cdr:x>0.76861</cdr:x>
      <cdr:y>0.39839</cdr:y>
    </cdr:to>
    <cdr:cxnSp macro="">
      <cdr:nvCxnSpPr>
        <cdr:cNvPr id="10" name="Straight Arrow Connector 9">
          <a:extLst xmlns:a="http://schemas.openxmlformats.org/drawingml/2006/main">
            <a:ext uri="{FF2B5EF4-FFF2-40B4-BE49-F238E27FC236}">
              <a16:creationId xmlns:a16="http://schemas.microsoft.com/office/drawing/2014/main" id="{2B12905D-2AAF-A4B1-8BCF-40B2BEE8AE73}"/>
            </a:ext>
          </a:extLst>
        </cdr:cNvPr>
        <cdr:cNvCxnSpPr/>
      </cdr:nvCxnSpPr>
      <cdr:spPr>
        <a:xfrm xmlns:a="http://schemas.openxmlformats.org/drawingml/2006/main">
          <a:off x="8774205" y="1712401"/>
          <a:ext cx="491235" cy="834566"/>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userShapes>
</file>

<file path=xl/drawings/drawing52.xml><?xml version="1.0" encoding="utf-8"?>
<xdr:wsDr xmlns:xdr="http://schemas.openxmlformats.org/drawingml/2006/spreadsheetDrawing" xmlns:a="http://schemas.openxmlformats.org/drawingml/2006/main">
  <xdr:twoCellAnchor>
    <xdr:from>
      <xdr:col>7</xdr:col>
      <xdr:colOff>0</xdr:colOff>
      <xdr:row>5</xdr:row>
      <xdr:rowOff>0</xdr:rowOff>
    </xdr:from>
    <xdr:to>
      <xdr:col>25</xdr:col>
      <xdr:colOff>0</xdr:colOff>
      <xdr:row>37</xdr:row>
      <xdr:rowOff>0</xdr:rowOff>
    </xdr:to>
    <xdr:graphicFrame macro="">
      <xdr:nvGraphicFramePr>
        <xdr:cNvPr id="2" name="Chart 1">
          <a:extLst>
            <a:ext uri="{FF2B5EF4-FFF2-40B4-BE49-F238E27FC236}">
              <a16:creationId xmlns:a16="http://schemas.microsoft.com/office/drawing/2014/main" id="{15632F13-4436-4230-AA28-5E75A8255B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3.xml><?xml version="1.0" encoding="utf-8"?>
<c:userShapes xmlns:c="http://schemas.openxmlformats.org/drawingml/2006/chart">
  <cdr:relSizeAnchor xmlns:cdr="http://schemas.openxmlformats.org/drawingml/2006/chartDrawing">
    <cdr:from>
      <cdr:x>0.05149</cdr:x>
      <cdr:y>0.09252</cdr:y>
    </cdr:from>
    <cdr:to>
      <cdr:x>0.18371</cdr:x>
      <cdr:y>0.17836</cdr:y>
    </cdr:to>
    <cdr:sp macro="" textlink="">
      <cdr:nvSpPr>
        <cdr:cNvPr id="3" name="TextBox 19">
          <a:extLst xmlns:a="http://schemas.openxmlformats.org/drawingml/2006/main">
            <a:ext uri="{FF2B5EF4-FFF2-40B4-BE49-F238E27FC236}">
              <a16:creationId xmlns:a16="http://schemas.microsoft.com/office/drawing/2014/main" id="{A2DED420-FAA1-BDF2-3E41-D437B3BA1BFF}"/>
            </a:ext>
          </a:extLst>
        </cdr:cNvPr>
        <cdr:cNvSpPr txBox="1"/>
      </cdr:nvSpPr>
      <cdr:spPr>
        <a:xfrm xmlns:a="http://schemas.openxmlformats.org/drawingml/2006/main">
          <a:off x="621465" y="592897"/>
          <a:ext cx="1595955" cy="550103"/>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600">
              <a:latin typeface="Calibri Light" panose="020F0302020204030204" pitchFamily="34" charset="0"/>
              <a:ea typeface="Calibri Light" panose="020F0302020204030204" pitchFamily="34" charset="0"/>
              <a:cs typeface="Calibri Light" panose="020F0302020204030204" pitchFamily="34" charset="0"/>
            </a:rPr>
            <a:t>billion Euros</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600">
              <a:latin typeface="Calibri Light" panose="020F0302020204030204" pitchFamily="34" charset="0"/>
              <a:ea typeface="Calibri Light" panose="020F0302020204030204" pitchFamily="34" charset="0"/>
              <a:cs typeface="Calibri Light" panose="020F0302020204030204" pitchFamily="34" charset="0"/>
            </a:rPr>
            <a:t>Total: </a:t>
          </a:r>
          <a:r>
            <a:rPr lang="en-US" sz="16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€18.9 bn</a:t>
          </a:r>
          <a:endParaRPr lang="en-US" sz="16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r>
            <a:rPr lang="en-US" sz="1100">
              <a:latin typeface="Times New Roman" panose="02020603050405020304" pitchFamily="18" charset="0"/>
              <a:cs typeface="Times New Roman" panose="02020603050405020304" pitchFamily="18" charset="0"/>
            </a:rPr>
            <a:t> </a:t>
          </a: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0.50189</cdr:x>
      <cdr:y>0.18311</cdr:y>
    </cdr:from>
    <cdr:to>
      <cdr:x>0.64716</cdr:x>
      <cdr:y>0.22235</cdr:y>
    </cdr:to>
    <cdr:sp macro="" textlink="">
      <cdr:nvSpPr>
        <cdr:cNvPr id="19" name="TextBox 9">
          <a:extLst xmlns:a="http://schemas.openxmlformats.org/drawingml/2006/main">
            <a:ext uri="{FF2B5EF4-FFF2-40B4-BE49-F238E27FC236}">
              <a16:creationId xmlns:a16="http://schemas.microsoft.com/office/drawing/2014/main" id="{D9DAF369-FD2E-45C9-97AB-917F35607EAB}"/>
            </a:ext>
          </a:extLst>
        </cdr:cNvPr>
        <cdr:cNvSpPr txBox="1"/>
      </cdr:nvSpPr>
      <cdr:spPr>
        <a:xfrm xmlns:a="http://schemas.openxmlformats.org/drawingml/2006/main">
          <a:off x="6057900" y="1173474"/>
          <a:ext cx="1753328" cy="251467"/>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F-35</a:t>
          </a:r>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fighter</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a:t>
          </a:r>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€8.3 bn</a:t>
          </a:r>
          <a:endParaRPr lang="en-US" sz="14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p>
      </cdr:txBody>
    </cdr:sp>
  </cdr:relSizeAnchor>
  <cdr:relSizeAnchor xmlns:cdr="http://schemas.openxmlformats.org/drawingml/2006/chartDrawing">
    <cdr:from>
      <cdr:x>0.60052</cdr:x>
      <cdr:y>0.22585</cdr:y>
    </cdr:from>
    <cdr:to>
      <cdr:x>0.64211</cdr:x>
      <cdr:y>0.33178</cdr:y>
    </cdr:to>
    <cdr:cxnSp macro="">
      <cdr:nvCxnSpPr>
        <cdr:cNvPr id="27" name="Straight Arrow Connector 26">
          <a:extLst xmlns:a="http://schemas.openxmlformats.org/drawingml/2006/main">
            <a:ext uri="{FF2B5EF4-FFF2-40B4-BE49-F238E27FC236}">
              <a16:creationId xmlns:a16="http://schemas.microsoft.com/office/drawing/2014/main" id="{7A710D46-E7C4-9479-BD3C-FE2886225255}"/>
            </a:ext>
          </a:extLst>
        </cdr:cNvPr>
        <cdr:cNvCxnSpPr/>
      </cdr:nvCxnSpPr>
      <cdr:spPr>
        <a:xfrm xmlns:a="http://schemas.openxmlformats.org/drawingml/2006/main">
          <a:off x="7248337" y="1447346"/>
          <a:ext cx="501994" cy="678844"/>
        </a:xfrm>
        <a:prstGeom xmlns:a="http://schemas.openxmlformats.org/drawingml/2006/main" prst="straightConnector1">
          <a:avLst/>
        </a:prstGeom>
        <a:ln xmlns:a="http://schemas.openxmlformats.org/drawingml/2006/main">
          <a:tailEnd type="triangle"/>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0.24936</cdr:x>
      <cdr:y>0.43337</cdr:y>
    </cdr:from>
    <cdr:to>
      <cdr:x>0.39331</cdr:x>
      <cdr:y>0.48038</cdr:y>
    </cdr:to>
    <cdr:sp macro="" textlink="">
      <cdr:nvSpPr>
        <cdr:cNvPr id="4" name="TextBox 1">
          <a:extLst xmlns:a="http://schemas.openxmlformats.org/drawingml/2006/main">
            <a:ext uri="{FF2B5EF4-FFF2-40B4-BE49-F238E27FC236}">
              <a16:creationId xmlns:a16="http://schemas.microsoft.com/office/drawing/2014/main" id="{CEF6D0EC-A74D-66B4-AC0A-707ECE0D65B6}"/>
            </a:ext>
          </a:extLst>
        </cdr:cNvPr>
        <cdr:cNvSpPr txBox="1"/>
      </cdr:nvSpPr>
      <cdr:spPr>
        <a:xfrm xmlns:a="http://schemas.openxmlformats.org/drawingml/2006/main">
          <a:off x="3009736" y="2777245"/>
          <a:ext cx="1737523" cy="301260"/>
        </a:xfrm>
        <a:prstGeom xmlns:a="http://schemas.openxmlformats.org/drawingml/2006/main" prst="rect">
          <a:avLst/>
        </a:prstGeom>
        <a:solidFill xmlns:a="http://schemas.openxmlformats.org/drawingml/2006/main">
          <a:schemeClr val="bg1"/>
        </a:solidFill>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a:latin typeface="Calibri Light" panose="020F0302020204030204" pitchFamily="34" charset="0"/>
              <a:ea typeface="Calibri Light" panose="020F0302020204030204" pitchFamily="34" charset="0"/>
              <a:cs typeface="Calibri Light" panose="020F0302020204030204" pitchFamily="34" charset="0"/>
            </a:rPr>
            <a:t>Eurofighter - </a:t>
          </a:r>
          <a:r>
            <a:rPr lang="en-US" sz="1400">
              <a:effectLst/>
              <a:latin typeface="Calibri Light" panose="020F0302020204030204" pitchFamily="34" charset="0"/>
              <a:ea typeface="Calibri Light" panose="020F0302020204030204" pitchFamily="34" charset="0"/>
              <a:cs typeface="Calibri Light" panose="020F0302020204030204" pitchFamily="34" charset="0"/>
            </a:rPr>
            <a:t>€5.5 bn</a:t>
          </a:r>
          <a:r>
            <a:rPr lang="en-US" sz="1400">
              <a:latin typeface="Calibri Light" panose="020F0302020204030204" pitchFamily="34" charset="0"/>
              <a:ea typeface="Calibri Light" panose="020F0302020204030204" pitchFamily="34" charset="0"/>
              <a:cs typeface="Calibri Light" panose="020F0302020204030204" pitchFamily="34" charset="0"/>
            </a:rPr>
            <a:t> </a:t>
          </a:r>
        </a:p>
      </cdr:txBody>
    </cdr:sp>
  </cdr:relSizeAnchor>
  <cdr:relSizeAnchor xmlns:cdr="http://schemas.openxmlformats.org/drawingml/2006/chartDrawing">
    <cdr:from>
      <cdr:x>0.23928</cdr:x>
      <cdr:y>0.4798</cdr:y>
    </cdr:from>
    <cdr:to>
      <cdr:x>0.2689</cdr:x>
      <cdr:y>0.569</cdr:y>
    </cdr:to>
    <cdr:cxnSp macro="">
      <cdr:nvCxnSpPr>
        <cdr:cNvPr id="5" name="Straight Arrow Connector 4">
          <a:extLst xmlns:a="http://schemas.openxmlformats.org/drawingml/2006/main">
            <a:ext uri="{FF2B5EF4-FFF2-40B4-BE49-F238E27FC236}">
              <a16:creationId xmlns:a16="http://schemas.microsoft.com/office/drawing/2014/main" id="{26D30574-5E18-6233-6BC0-3D02B7C7DC1A}"/>
            </a:ext>
          </a:extLst>
        </cdr:cNvPr>
        <cdr:cNvCxnSpPr/>
      </cdr:nvCxnSpPr>
      <cdr:spPr>
        <a:xfrm xmlns:a="http://schemas.openxmlformats.org/drawingml/2006/main" flipH="1">
          <a:off x="2888074" y="3074752"/>
          <a:ext cx="357516" cy="571631"/>
        </a:xfrm>
        <a:prstGeom xmlns:a="http://schemas.openxmlformats.org/drawingml/2006/main" prst="straightConnector1">
          <a:avLst/>
        </a:prstGeom>
        <a:ln xmlns:a="http://schemas.openxmlformats.org/drawingml/2006/main">
          <a:tailEnd type="triangle"/>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54.xml><?xml version="1.0" encoding="utf-8"?>
<xdr:wsDr xmlns:xdr="http://schemas.openxmlformats.org/drawingml/2006/spreadsheetDrawing" xmlns:a="http://schemas.openxmlformats.org/drawingml/2006/main">
  <xdr:twoCellAnchor>
    <xdr:from>
      <xdr:col>7</xdr:col>
      <xdr:colOff>0</xdr:colOff>
      <xdr:row>5</xdr:row>
      <xdr:rowOff>0</xdr:rowOff>
    </xdr:from>
    <xdr:to>
      <xdr:col>25</xdr:col>
      <xdr:colOff>0</xdr:colOff>
      <xdr:row>37</xdr:row>
      <xdr:rowOff>0</xdr:rowOff>
    </xdr:to>
    <xdr:graphicFrame macro="">
      <xdr:nvGraphicFramePr>
        <xdr:cNvPr id="2" name="Chart 1">
          <a:extLst>
            <a:ext uri="{FF2B5EF4-FFF2-40B4-BE49-F238E27FC236}">
              <a16:creationId xmlns:a16="http://schemas.microsoft.com/office/drawing/2014/main" id="{264EC164-387A-4A53-A8C9-900AF6FC4A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5.xml><?xml version="1.0" encoding="utf-8"?>
<c:userShapes xmlns:c="http://schemas.openxmlformats.org/drawingml/2006/chart">
  <cdr:relSizeAnchor xmlns:cdr="http://schemas.openxmlformats.org/drawingml/2006/chartDrawing">
    <cdr:from>
      <cdr:x>0.0395</cdr:x>
      <cdr:y>0.09634</cdr:y>
    </cdr:from>
    <cdr:to>
      <cdr:x>0.13612</cdr:x>
      <cdr:y>0.17004</cdr:y>
    </cdr:to>
    <cdr:sp macro="" textlink="">
      <cdr:nvSpPr>
        <cdr:cNvPr id="3" name="TextBox 19">
          <a:extLst xmlns:a="http://schemas.openxmlformats.org/drawingml/2006/main">
            <a:ext uri="{FF2B5EF4-FFF2-40B4-BE49-F238E27FC236}">
              <a16:creationId xmlns:a16="http://schemas.microsoft.com/office/drawing/2014/main" id="{A2DED420-FAA1-BDF2-3E41-D437B3BA1BFF}"/>
            </a:ext>
          </a:extLst>
        </cdr:cNvPr>
        <cdr:cNvSpPr txBox="1"/>
      </cdr:nvSpPr>
      <cdr:spPr>
        <a:xfrm xmlns:a="http://schemas.openxmlformats.org/drawingml/2006/main">
          <a:off x="476743" y="617365"/>
          <a:ext cx="1166211" cy="472301"/>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600">
              <a:latin typeface="Calibri Light" panose="020F0302020204030204" pitchFamily="34" charset="0"/>
              <a:ea typeface="Calibri Light" panose="020F0302020204030204" pitchFamily="34" charset="0"/>
              <a:cs typeface="Calibri Light" panose="020F0302020204030204" pitchFamily="34" charset="0"/>
            </a:rPr>
            <a:t>units</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600">
              <a:latin typeface="Calibri Light" panose="020F0302020204030204" pitchFamily="34" charset="0"/>
              <a:ea typeface="Calibri Light" panose="020F0302020204030204" pitchFamily="34" charset="0"/>
              <a:cs typeface="Calibri Light" panose="020F0302020204030204" pitchFamily="34" charset="0"/>
            </a:rPr>
            <a:t>Total: 73</a:t>
          </a:r>
          <a:endParaRPr lang="en-US" sz="16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r>
            <a:rPr lang="en-US" sz="1100">
              <a:latin typeface="Times New Roman" panose="02020603050405020304" pitchFamily="18" charset="0"/>
              <a:cs typeface="Times New Roman" panose="02020603050405020304" pitchFamily="18" charset="0"/>
            </a:rPr>
            <a:t> </a:t>
          </a: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0.23232</cdr:x>
      <cdr:y>0.21552</cdr:y>
    </cdr:from>
    <cdr:to>
      <cdr:x>0.36174</cdr:x>
      <cdr:y>0.25684</cdr:y>
    </cdr:to>
    <cdr:sp macro="" textlink="">
      <cdr:nvSpPr>
        <cdr:cNvPr id="7" name="TextBox 9">
          <a:extLst xmlns:a="http://schemas.openxmlformats.org/drawingml/2006/main">
            <a:ext uri="{FF2B5EF4-FFF2-40B4-BE49-F238E27FC236}">
              <a16:creationId xmlns:a16="http://schemas.microsoft.com/office/drawing/2014/main" id="{26591067-ECD7-9464-C00C-9A10BF0D27F9}"/>
            </a:ext>
          </a:extLst>
        </cdr:cNvPr>
        <cdr:cNvSpPr txBox="1"/>
      </cdr:nvSpPr>
      <cdr:spPr>
        <a:xfrm xmlns:a="http://schemas.openxmlformats.org/drawingml/2006/main">
          <a:off x="2804149" y="1381127"/>
          <a:ext cx="1562111" cy="264796"/>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Eurofighter -</a:t>
          </a:r>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38</a:t>
          </a:r>
          <a:endParaRPr lang="en-US" sz="1400">
            <a:latin typeface="Calibri Light" panose="020F0302020204030204" pitchFamily="34" charset="0"/>
            <a:ea typeface="Calibri Light" panose="020F0302020204030204" pitchFamily="34" charset="0"/>
            <a:cs typeface="Calibri Light" panose="020F0302020204030204" pitchFamily="34" charset="0"/>
          </a:endParaRPr>
        </a:p>
      </cdr:txBody>
    </cdr:sp>
  </cdr:relSizeAnchor>
  <cdr:relSizeAnchor xmlns:cdr="http://schemas.openxmlformats.org/drawingml/2006/chartDrawing">
    <cdr:from>
      <cdr:x>0.22811</cdr:x>
      <cdr:y>0.26278</cdr:y>
    </cdr:from>
    <cdr:to>
      <cdr:x>0.25631</cdr:x>
      <cdr:y>0.35387</cdr:y>
    </cdr:to>
    <cdr:cxnSp macro="">
      <cdr:nvCxnSpPr>
        <cdr:cNvPr id="10" name="Straight Arrow Connector 9">
          <a:extLst xmlns:a="http://schemas.openxmlformats.org/drawingml/2006/main">
            <a:ext uri="{FF2B5EF4-FFF2-40B4-BE49-F238E27FC236}">
              <a16:creationId xmlns:a16="http://schemas.microsoft.com/office/drawing/2014/main" id="{2B12905D-2AAF-A4B1-8BCF-40B2BEE8AE73}"/>
            </a:ext>
          </a:extLst>
        </cdr:cNvPr>
        <cdr:cNvCxnSpPr/>
      </cdr:nvCxnSpPr>
      <cdr:spPr>
        <a:xfrm xmlns:a="http://schemas.openxmlformats.org/drawingml/2006/main" flipH="1">
          <a:off x="2753328" y="1684011"/>
          <a:ext cx="340376" cy="583743"/>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0.65198</cdr:x>
      <cdr:y>0.21895</cdr:y>
    </cdr:from>
    <cdr:to>
      <cdr:x>0.7721</cdr:x>
      <cdr:y>0.26397</cdr:y>
    </cdr:to>
    <cdr:sp macro="" textlink="">
      <cdr:nvSpPr>
        <cdr:cNvPr id="6" name="TextBox 9">
          <a:extLst xmlns:a="http://schemas.openxmlformats.org/drawingml/2006/main">
            <a:ext uri="{FF2B5EF4-FFF2-40B4-BE49-F238E27FC236}">
              <a16:creationId xmlns:a16="http://schemas.microsoft.com/office/drawing/2014/main" id="{C3F7AF64-0796-AFBC-8EAB-2E84FBCACA6D}"/>
            </a:ext>
          </a:extLst>
        </cdr:cNvPr>
        <cdr:cNvSpPr txBox="1"/>
      </cdr:nvSpPr>
      <cdr:spPr>
        <a:xfrm xmlns:a="http://schemas.openxmlformats.org/drawingml/2006/main">
          <a:off x="7869409" y="1403138"/>
          <a:ext cx="1449851" cy="288501"/>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tx1"/>
              </a:solidFill>
              <a:effectLst/>
              <a:latin typeface="Calibri Light" panose="020F0302020204030204" pitchFamily="34" charset="0"/>
              <a:ea typeface="Calibri Light" panose="020F0302020204030204" pitchFamily="34" charset="0"/>
              <a:cs typeface="Calibri Light" panose="020F0302020204030204" pitchFamily="34" charset="0"/>
            </a:rPr>
            <a:t>F-35 fighter -</a:t>
          </a:r>
          <a:r>
            <a:rPr lang="en-US" sz="1400" baseline="0">
              <a:solidFill>
                <a:schemeClr val="tx1"/>
              </a:solidFill>
              <a:effectLst/>
              <a:latin typeface="Calibri Light" panose="020F0302020204030204" pitchFamily="34" charset="0"/>
              <a:ea typeface="Calibri Light" panose="020F0302020204030204" pitchFamily="34" charset="0"/>
              <a:cs typeface="Calibri Light" panose="020F0302020204030204" pitchFamily="34" charset="0"/>
            </a:rPr>
            <a:t> 35</a:t>
          </a:r>
          <a:endParaRPr lang="en-US" sz="1400">
            <a:solidFill>
              <a:schemeClr val="tx1"/>
            </a:solidFill>
            <a:latin typeface="Calibri Light" panose="020F0302020204030204" pitchFamily="34" charset="0"/>
            <a:ea typeface="Calibri Light" panose="020F0302020204030204" pitchFamily="34" charset="0"/>
            <a:cs typeface="Calibri Light" panose="020F0302020204030204" pitchFamily="34" charset="0"/>
          </a:endParaRPr>
        </a:p>
      </cdr:txBody>
    </cdr:sp>
  </cdr:relSizeAnchor>
  <cdr:relSizeAnchor xmlns:cdr="http://schemas.openxmlformats.org/drawingml/2006/chartDrawing">
    <cdr:from>
      <cdr:x>0.65136</cdr:x>
      <cdr:y>0.26834</cdr:y>
    </cdr:from>
    <cdr:to>
      <cdr:x>0.67866</cdr:x>
      <cdr:y>0.35696</cdr:y>
    </cdr:to>
    <cdr:cxnSp macro="">
      <cdr:nvCxnSpPr>
        <cdr:cNvPr id="8" name="Straight Arrow Connector 7">
          <a:extLst xmlns:a="http://schemas.openxmlformats.org/drawingml/2006/main">
            <a:ext uri="{FF2B5EF4-FFF2-40B4-BE49-F238E27FC236}">
              <a16:creationId xmlns:a16="http://schemas.microsoft.com/office/drawing/2014/main" id="{DE9F645E-35F8-5F05-4E61-CEBAFE4B1B7E}"/>
            </a:ext>
          </a:extLst>
        </cdr:cNvPr>
        <cdr:cNvCxnSpPr/>
      </cdr:nvCxnSpPr>
      <cdr:spPr>
        <a:xfrm xmlns:a="http://schemas.openxmlformats.org/drawingml/2006/main" flipH="1">
          <a:off x="7861916" y="1719607"/>
          <a:ext cx="329513" cy="567915"/>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userShapes>
</file>

<file path=xl/drawings/drawing56.xml><?xml version="1.0" encoding="utf-8"?>
<xdr:wsDr xmlns:xdr="http://schemas.openxmlformats.org/drawingml/2006/spreadsheetDrawing" xmlns:a="http://schemas.openxmlformats.org/drawingml/2006/main">
  <xdr:twoCellAnchor>
    <xdr:from>
      <xdr:col>6</xdr:col>
      <xdr:colOff>0</xdr:colOff>
      <xdr:row>5</xdr:row>
      <xdr:rowOff>0</xdr:rowOff>
    </xdr:from>
    <xdr:to>
      <xdr:col>24</xdr:col>
      <xdr:colOff>0</xdr:colOff>
      <xdr:row>37</xdr:row>
      <xdr:rowOff>7620</xdr:rowOff>
    </xdr:to>
    <xdr:graphicFrame macro="">
      <xdr:nvGraphicFramePr>
        <xdr:cNvPr id="2" name="Chart 1">
          <a:extLst>
            <a:ext uri="{FF2B5EF4-FFF2-40B4-BE49-F238E27FC236}">
              <a16:creationId xmlns:a16="http://schemas.microsoft.com/office/drawing/2014/main" id="{D58FB70A-14FD-499B-860A-80F0000698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7.xml><?xml version="1.0" encoding="utf-8"?>
<c:userShapes xmlns:c="http://schemas.openxmlformats.org/drawingml/2006/chart">
  <cdr:relSizeAnchor xmlns:cdr="http://schemas.openxmlformats.org/drawingml/2006/chartDrawing">
    <cdr:from>
      <cdr:x>0.05213</cdr:x>
      <cdr:y>0.0897</cdr:y>
    </cdr:from>
    <cdr:to>
      <cdr:x>0.17235</cdr:x>
      <cdr:y>0.18052</cdr:y>
    </cdr:to>
    <cdr:sp macro="" textlink="">
      <cdr:nvSpPr>
        <cdr:cNvPr id="3" name="TextBox 19">
          <a:extLst xmlns:a="http://schemas.openxmlformats.org/drawingml/2006/main">
            <a:ext uri="{FF2B5EF4-FFF2-40B4-BE49-F238E27FC236}">
              <a16:creationId xmlns:a16="http://schemas.microsoft.com/office/drawing/2014/main" id="{A2DED420-FAA1-BDF2-3E41-D437B3BA1BFF}"/>
            </a:ext>
          </a:extLst>
        </cdr:cNvPr>
        <cdr:cNvSpPr txBox="1"/>
      </cdr:nvSpPr>
      <cdr:spPr>
        <a:xfrm xmlns:a="http://schemas.openxmlformats.org/drawingml/2006/main">
          <a:off x="629238" y="575526"/>
          <a:ext cx="1451022" cy="582714"/>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600">
              <a:solidFill>
                <a:schemeClr val="tx1"/>
              </a:solidFill>
              <a:latin typeface="Calibri Light" panose="020F0302020204030204" pitchFamily="34" charset="0"/>
              <a:ea typeface="Calibri Light" panose="020F0302020204030204" pitchFamily="34" charset="0"/>
              <a:cs typeface="Calibri Light" panose="020F0302020204030204" pitchFamily="34" charset="0"/>
            </a:rPr>
            <a:t>billion Euros</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600">
              <a:solidFill>
                <a:schemeClr val="tx1"/>
              </a:solidFill>
              <a:latin typeface="Calibri Light" panose="020F0302020204030204" pitchFamily="34" charset="0"/>
              <a:ea typeface="Calibri Light" panose="020F0302020204030204" pitchFamily="34" charset="0"/>
              <a:cs typeface="Calibri Light" panose="020F0302020204030204" pitchFamily="34" charset="0"/>
            </a:rPr>
            <a:t>Total: </a:t>
          </a:r>
          <a:r>
            <a:rPr lang="en-US" sz="1600">
              <a:solidFill>
                <a:schemeClr val="tx1"/>
              </a:solidFill>
              <a:effectLst/>
              <a:latin typeface="Calibri Light" panose="020F0302020204030204" pitchFamily="34" charset="0"/>
              <a:ea typeface="Calibri Light" panose="020F0302020204030204" pitchFamily="34" charset="0"/>
              <a:cs typeface="Calibri Light" panose="020F0302020204030204" pitchFamily="34" charset="0"/>
            </a:rPr>
            <a:t>€24 bn</a:t>
          </a:r>
        </a:p>
        <a:p xmlns:a="http://schemas.openxmlformats.org/drawingml/2006/main">
          <a:r>
            <a:rPr lang="en-US" sz="1100">
              <a:latin typeface="Times New Roman" panose="02020603050405020304" pitchFamily="18" charset="0"/>
              <a:cs typeface="Times New Roman" panose="02020603050405020304" pitchFamily="18" charset="0"/>
            </a:rPr>
            <a:t> </a:t>
          </a: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0.60164</cdr:x>
      <cdr:y>0.24109</cdr:y>
    </cdr:from>
    <cdr:to>
      <cdr:x>0.64527</cdr:x>
      <cdr:y>0.34238</cdr:y>
    </cdr:to>
    <cdr:cxnSp macro="">
      <cdr:nvCxnSpPr>
        <cdr:cNvPr id="27" name="Straight Arrow Connector 26">
          <a:extLst xmlns:a="http://schemas.openxmlformats.org/drawingml/2006/main">
            <a:ext uri="{FF2B5EF4-FFF2-40B4-BE49-F238E27FC236}">
              <a16:creationId xmlns:a16="http://schemas.microsoft.com/office/drawing/2014/main" id="{7A710D46-E7C4-9479-BD3C-FE2886225255}"/>
            </a:ext>
          </a:extLst>
        </cdr:cNvPr>
        <cdr:cNvCxnSpPr/>
      </cdr:nvCxnSpPr>
      <cdr:spPr>
        <a:xfrm xmlns:a="http://schemas.openxmlformats.org/drawingml/2006/main">
          <a:off x="7261860" y="1546860"/>
          <a:ext cx="526644" cy="649848"/>
        </a:xfrm>
        <a:prstGeom xmlns:a="http://schemas.openxmlformats.org/drawingml/2006/main" prst="straightConnector1">
          <a:avLst/>
        </a:prstGeom>
        <a:ln xmlns:a="http://schemas.openxmlformats.org/drawingml/2006/main">
          <a:tailEnd type="triangle"/>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0.5</cdr:x>
      <cdr:y>0.18888</cdr:y>
    </cdr:from>
    <cdr:to>
      <cdr:x>0.64317</cdr:x>
      <cdr:y>0.23278</cdr:y>
    </cdr:to>
    <cdr:sp macro="" textlink="">
      <cdr:nvSpPr>
        <cdr:cNvPr id="5" name="TextBox 9">
          <a:extLst xmlns:a="http://schemas.openxmlformats.org/drawingml/2006/main">
            <a:ext uri="{FF2B5EF4-FFF2-40B4-BE49-F238E27FC236}">
              <a16:creationId xmlns:a16="http://schemas.microsoft.com/office/drawing/2014/main" id="{D00EC474-10AC-565D-1E3C-14BA89EA985E}"/>
            </a:ext>
          </a:extLst>
        </cdr:cNvPr>
        <cdr:cNvSpPr txBox="1"/>
      </cdr:nvSpPr>
      <cdr:spPr>
        <a:xfrm xmlns:a="http://schemas.openxmlformats.org/drawingml/2006/main">
          <a:off x="6035040" y="1211887"/>
          <a:ext cx="1728054" cy="281664"/>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F-35</a:t>
          </a:r>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fighter</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a:t>
          </a:r>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€8.3 bn</a:t>
          </a:r>
          <a:endParaRPr lang="en-US" sz="14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p>
      </cdr:txBody>
    </cdr:sp>
  </cdr:relSizeAnchor>
  <cdr:relSizeAnchor xmlns:cdr="http://schemas.openxmlformats.org/drawingml/2006/chartDrawing">
    <cdr:from>
      <cdr:x>0.35772</cdr:x>
      <cdr:y>0.32758</cdr:y>
    </cdr:from>
    <cdr:to>
      <cdr:x>0.52336</cdr:x>
      <cdr:y>0.39905</cdr:y>
    </cdr:to>
    <cdr:sp macro="" textlink="">
      <cdr:nvSpPr>
        <cdr:cNvPr id="6" name="TextBox 2">
          <a:extLst xmlns:a="http://schemas.openxmlformats.org/drawingml/2006/main">
            <a:ext uri="{FF2B5EF4-FFF2-40B4-BE49-F238E27FC236}">
              <a16:creationId xmlns:a16="http://schemas.microsoft.com/office/drawing/2014/main" id="{624E6381-0ED4-9BCF-1ED7-F1EBE0EA1B3F}"/>
            </a:ext>
          </a:extLst>
        </cdr:cNvPr>
        <cdr:cNvSpPr txBox="1"/>
      </cdr:nvSpPr>
      <cdr:spPr>
        <a:xfrm xmlns:a="http://schemas.openxmlformats.org/drawingml/2006/main">
          <a:off x="4317758" y="2101781"/>
          <a:ext cx="1999221" cy="458555"/>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latin typeface="Calibri Light" panose="020F0302020204030204" pitchFamily="34" charset="0"/>
              <a:ea typeface="Calibri Light" panose="020F0302020204030204" pitchFamily="34" charset="0"/>
              <a:cs typeface="Calibri Light" panose="020F0302020204030204" pitchFamily="34" charset="0"/>
            </a:rPr>
            <a:t>Future Combat Air System project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€4.4 bn</a:t>
          </a:r>
          <a:endParaRPr lang="en-US" sz="1400">
            <a:latin typeface="Calibri Light" panose="020F0302020204030204" pitchFamily="34" charset="0"/>
            <a:ea typeface="Calibri Light" panose="020F0302020204030204" pitchFamily="34" charset="0"/>
            <a:cs typeface="Calibri Light" panose="020F0302020204030204" pitchFamily="34" charset="0"/>
          </a:endParaRPr>
        </a:p>
      </cdr:txBody>
    </cdr:sp>
  </cdr:relSizeAnchor>
  <cdr:relSizeAnchor xmlns:cdr="http://schemas.openxmlformats.org/drawingml/2006/chartDrawing">
    <cdr:from>
      <cdr:x>0.36026</cdr:x>
      <cdr:y>0.40159</cdr:y>
    </cdr:from>
    <cdr:to>
      <cdr:x>0.38231</cdr:x>
      <cdr:y>0.48392</cdr:y>
    </cdr:to>
    <cdr:cxnSp macro="">
      <cdr:nvCxnSpPr>
        <cdr:cNvPr id="14" name="Straight Arrow Connector 13">
          <a:extLst xmlns:a="http://schemas.openxmlformats.org/drawingml/2006/main">
            <a:ext uri="{FF2B5EF4-FFF2-40B4-BE49-F238E27FC236}">
              <a16:creationId xmlns:a16="http://schemas.microsoft.com/office/drawing/2014/main" id="{87D920B4-5DAF-859F-F3BF-53DDA60A614C}"/>
            </a:ext>
          </a:extLst>
        </cdr:cNvPr>
        <cdr:cNvCxnSpPr/>
      </cdr:nvCxnSpPr>
      <cdr:spPr>
        <a:xfrm xmlns:a="http://schemas.openxmlformats.org/drawingml/2006/main" flipH="1">
          <a:off x="4348376" y="2576587"/>
          <a:ext cx="266145" cy="528233"/>
        </a:xfrm>
        <a:prstGeom xmlns:a="http://schemas.openxmlformats.org/drawingml/2006/main" prst="straightConnector1">
          <a:avLst/>
        </a:prstGeom>
        <a:ln xmlns:a="http://schemas.openxmlformats.org/drawingml/2006/main">
          <a:tailEnd type="triangle"/>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0.18876</cdr:x>
      <cdr:y>0.31042</cdr:y>
    </cdr:from>
    <cdr:to>
      <cdr:x>0.32684</cdr:x>
      <cdr:y>0.35035</cdr:y>
    </cdr:to>
    <cdr:sp macro="" textlink="">
      <cdr:nvSpPr>
        <cdr:cNvPr id="16" name="TextBox 1">
          <a:extLst xmlns:a="http://schemas.openxmlformats.org/drawingml/2006/main">
            <a:ext uri="{FF2B5EF4-FFF2-40B4-BE49-F238E27FC236}">
              <a16:creationId xmlns:a16="http://schemas.microsoft.com/office/drawing/2014/main" id="{84C4EE1B-D186-1E4F-F394-83A0B0F0F18D}"/>
            </a:ext>
          </a:extLst>
        </cdr:cNvPr>
        <cdr:cNvSpPr txBox="1"/>
      </cdr:nvSpPr>
      <cdr:spPr>
        <a:xfrm xmlns:a="http://schemas.openxmlformats.org/drawingml/2006/main">
          <a:off x="2278380" y="1991689"/>
          <a:ext cx="1666563" cy="256193"/>
        </a:xfrm>
        <a:prstGeom xmlns:a="http://schemas.openxmlformats.org/drawingml/2006/main" prst="rect">
          <a:avLst/>
        </a:prstGeom>
        <a:solidFill xmlns:a="http://schemas.openxmlformats.org/drawingml/2006/main">
          <a:schemeClr val="bg1"/>
        </a:solidFill>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a:latin typeface="Calibri Light" panose="020F0302020204030204" pitchFamily="34" charset="0"/>
              <a:ea typeface="Calibri Light" panose="020F0302020204030204" pitchFamily="34" charset="0"/>
              <a:cs typeface="Calibri Light" panose="020F0302020204030204" pitchFamily="34" charset="0"/>
            </a:rPr>
            <a:t>Eurofighter - </a:t>
          </a:r>
          <a:r>
            <a:rPr lang="en-US" sz="1400">
              <a:effectLst/>
              <a:latin typeface="Calibri Light" panose="020F0302020204030204" pitchFamily="34" charset="0"/>
              <a:ea typeface="Calibri Light" panose="020F0302020204030204" pitchFamily="34" charset="0"/>
              <a:cs typeface="Calibri Light" panose="020F0302020204030204" pitchFamily="34" charset="0"/>
            </a:rPr>
            <a:t>€5.5 bn</a:t>
          </a:r>
          <a:r>
            <a:rPr lang="en-US" sz="1400">
              <a:latin typeface="Calibri Light" panose="020F0302020204030204" pitchFamily="34" charset="0"/>
              <a:ea typeface="Calibri Light" panose="020F0302020204030204" pitchFamily="34" charset="0"/>
              <a:cs typeface="Calibri Light" panose="020F0302020204030204" pitchFamily="34" charset="0"/>
            </a:rPr>
            <a:t> </a:t>
          </a:r>
        </a:p>
      </cdr:txBody>
    </cdr:sp>
  </cdr:relSizeAnchor>
  <cdr:relSizeAnchor xmlns:cdr="http://schemas.openxmlformats.org/drawingml/2006/chartDrawing">
    <cdr:from>
      <cdr:x>0.24053</cdr:x>
      <cdr:y>0.35303</cdr:y>
    </cdr:from>
    <cdr:to>
      <cdr:x>0.27015</cdr:x>
      <cdr:y>0.44223</cdr:y>
    </cdr:to>
    <cdr:cxnSp macro="">
      <cdr:nvCxnSpPr>
        <cdr:cNvPr id="22" name="Straight Arrow Connector 21">
          <a:extLst xmlns:a="http://schemas.openxmlformats.org/drawingml/2006/main">
            <a:ext uri="{FF2B5EF4-FFF2-40B4-BE49-F238E27FC236}">
              <a16:creationId xmlns:a16="http://schemas.microsoft.com/office/drawing/2014/main" id="{C974F7B3-539E-EC7E-ABE0-DE782E958085}"/>
            </a:ext>
          </a:extLst>
        </cdr:cNvPr>
        <cdr:cNvCxnSpPr/>
      </cdr:nvCxnSpPr>
      <cdr:spPr>
        <a:xfrm xmlns:a="http://schemas.openxmlformats.org/drawingml/2006/main" flipH="1">
          <a:off x="2903209" y="2265032"/>
          <a:ext cx="357516" cy="572310"/>
        </a:xfrm>
        <a:prstGeom xmlns:a="http://schemas.openxmlformats.org/drawingml/2006/main" prst="straightConnector1">
          <a:avLst/>
        </a:prstGeom>
        <a:ln xmlns:a="http://schemas.openxmlformats.org/drawingml/2006/main">
          <a:tailEnd type="triangle"/>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58.xml><?xml version="1.0" encoding="utf-8"?>
<xdr:wsDr xmlns:xdr="http://schemas.openxmlformats.org/drawingml/2006/spreadsheetDrawing" xmlns:a="http://schemas.openxmlformats.org/drawingml/2006/main">
  <xdr:twoCellAnchor>
    <xdr:from>
      <xdr:col>7</xdr:col>
      <xdr:colOff>0</xdr:colOff>
      <xdr:row>5</xdr:row>
      <xdr:rowOff>0</xdr:rowOff>
    </xdr:from>
    <xdr:to>
      <xdr:col>25</xdr:col>
      <xdr:colOff>0</xdr:colOff>
      <xdr:row>36</xdr:row>
      <xdr:rowOff>190500</xdr:rowOff>
    </xdr:to>
    <xdr:graphicFrame macro="">
      <xdr:nvGraphicFramePr>
        <xdr:cNvPr id="2" name="Chart 1">
          <a:extLst>
            <a:ext uri="{FF2B5EF4-FFF2-40B4-BE49-F238E27FC236}">
              <a16:creationId xmlns:a16="http://schemas.microsoft.com/office/drawing/2014/main" id="{8291E755-2B62-4093-B4D8-9DE9BAB02D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9.xml><?xml version="1.0" encoding="utf-8"?>
<c:userShapes xmlns:c="http://schemas.openxmlformats.org/drawingml/2006/chart">
  <cdr:relSizeAnchor xmlns:cdr="http://schemas.openxmlformats.org/drawingml/2006/chartDrawing">
    <cdr:from>
      <cdr:x>0.05591</cdr:x>
      <cdr:y>0.09039</cdr:y>
    </cdr:from>
    <cdr:to>
      <cdr:x>0.17235</cdr:x>
      <cdr:y>0.18214</cdr:y>
    </cdr:to>
    <cdr:sp macro="" textlink="">
      <cdr:nvSpPr>
        <cdr:cNvPr id="3" name="TextBox 19">
          <a:extLst xmlns:a="http://schemas.openxmlformats.org/drawingml/2006/main">
            <a:ext uri="{FF2B5EF4-FFF2-40B4-BE49-F238E27FC236}">
              <a16:creationId xmlns:a16="http://schemas.microsoft.com/office/drawing/2014/main" id="{A2DED420-FAA1-BDF2-3E41-D437B3BA1BFF}"/>
            </a:ext>
          </a:extLst>
        </cdr:cNvPr>
        <cdr:cNvSpPr txBox="1"/>
      </cdr:nvSpPr>
      <cdr:spPr>
        <a:xfrm xmlns:a="http://schemas.openxmlformats.org/drawingml/2006/main">
          <a:off x="674878" y="578546"/>
          <a:ext cx="1405382" cy="587313"/>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600">
              <a:latin typeface="Calibri Light" panose="020F0302020204030204" pitchFamily="34" charset="0"/>
              <a:ea typeface="Calibri Light" panose="020F0302020204030204" pitchFamily="34" charset="0"/>
              <a:cs typeface="Calibri Light" panose="020F0302020204030204" pitchFamily="34" charset="0"/>
            </a:rPr>
            <a:t>billion Euros</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600">
              <a:latin typeface="Calibri Light" panose="020F0302020204030204" pitchFamily="34" charset="0"/>
              <a:ea typeface="Calibri Light" panose="020F0302020204030204" pitchFamily="34" charset="0"/>
              <a:cs typeface="Calibri Light" panose="020F0302020204030204" pitchFamily="34" charset="0"/>
            </a:rPr>
            <a:t>Total: </a:t>
          </a:r>
          <a:r>
            <a:rPr lang="en-US" sz="16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€44 bn</a:t>
          </a:r>
          <a:endParaRPr lang="en-US" sz="16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r>
            <a:rPr lang="en-US" sz="1100">
              <a:latin typeface="Times New Roman" panose="02020603050405020304" pitchFamily="18" charset="0"/>
              <a:cs typeface="Times New Roman" panose="02020603050405020304" pitchFamily="18" charset="0"/>
            </a:rPr>
            <a:t> </a:t>
          </a: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0.58333</cdr:x>
      <cdr:y>0.19727</cdr:y>
    </cdr:from>
    <cdr:to>
      <cdr:x>0.7631</cdr:x>
      <cdr:y>0.23928</cdr:y>
    </cdr:to>
    <cdr:sp macro="" textlink="">
      <cdr:nvSpPr>
        <cdr:cNvPr id="19" name="TextBox 9">
          <a:extLst xmlns:a="http://schemas.openxmlformats.org/drawingml/2006/main">
            <a:ext uri="{FF2B5EF4-FFF2-40B4-BE49-F238E27FC236}">
              <a16:creationId xmlns:a16="http://schemas.microsoft.com/office/drawing/2014/main" id="{D9DAF369-FD2E-45C9-97AB-917F35607EAB}"/>
            </a:ext>
          </a:extLst>
        </cdr:cNvPr>
        <cdr:cNvSpPr txBox="1"/>
      </cdr:nvSpPr>
      <cdr:spPr>
        <a:xfrm xmlns:a="http://schemas.openxmlformats.org/drawingml/2006/main">
          <a:off x="7040880" y="1262698"/>
          <a:ext cx="2169794" cy="268898"/>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400">
              <a:latin typeface="Calibri Light" panose="020F0302020204030204" pitchFamily="34" charset="0"/>
              <a:ea typeface="Calibri Light" panose="020F0302020204030204" pitchFamily="34" charset="0"/>
              <a:cs typeface="Calibri Light" panose="020F0302020204030204" pitchFamily="34" charset="0"/>
            </a:rPr>
            <a:t>Chinook</a:t>
          </a:r>
          <a:r>
            <a:rPr lang="en-US" sz="1400" baseline="0">
              <a:latin typeface="Calibri Light" panose="020F0302020204030204" pitchFamily="34" charset="0"/>
              <a:ea typeface="Calibri Light" panose="020F0302020204030204" pitchFamily="34" charset="0"/>
              <a:cs typeface="Calibri Light" panose="020F0302020204030204" pitchFamily="34" charset="0"/>
            </a:rPr>
            <a:t> helicopter</a:t>
          </a:r>
          <a:r>
            <a:rPr lang="en-US" sz="1400">
              <a:latin typeface="Calibri Light" panose="020F0302020204030204" pitchFamily="34" charset="0"/>
              <a:ea typeface="Calibri Light" panose="020F0302020204030204" pitchFamily="34" charset="0"/>
              <a:cs typeface="Calibri Light" panose="020F0302020204030204" pitchFamily="34" charset="0"/>
            </a:rPr>
            <a:t>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€7</a:t>
          </a:r>
          <a:r>
            <a:rPr lang="en-US" sz="1400">
              <a:latin typeface="Calibri Light" panose="020F0302020204030204" pitchFamily="34" charset="0"/>
              <a:ea typeface="Calibri Light" panose="020F0302020204030204" pitchFamily="34" charset="0"/>
              <a:cs typeface="Calibri Light" panose="020F0302020204030204" pitchFamily="34" charset="0"/>
            </a:rPr>
            <a:t> bn</a:t>
          </a:r>
        </a:p>
        <a:p xmlns:a="http://schemas.openxmlformats.org/drawingml/2006/main">
          <a:endParaRPr lang="en-US" sz="1100"/>
        </a:p>
      </cdr:txBody>
    </cdr:sp>
  </cdr:relSizeAnchor>
  <cdr:relSizeAnchor xmlns:cdr="http://schemas.openxmlformats.org/drawingml/2006/chartDrawing">
    <cdr:from>
      <cdr:x>0.71587</cdr:x>
      <cdr:y>0.24467</cdr:y>
    </cdr:from>
    <cdr:to>
      <cdr:x>0.77195</cdr:x>
      <cdr:y>0.36594</cdr:y>
    </cdr:to>
    <cdr:cxnSp macro="">
      <cdr:nvCxnSpPr>
        <cdr:cNvPr id="20" name="Straight Arrow Connector 19">
          <a:extLst xmlns:a="http://schemas.openxmlformats.org/drawingml/2006/main">
            <a:ext uri="{FF2B5EF4-FFF2-40B4-BE49-F238E27FC236}">
              <a16:creationId xmlns:a16="http://schemas.microsoft.com/office/drawing/2014/main" id="{3479F456-9CA4-4669-8D3B-6D43AAB04EFD}"/>
            </a:ext>
          </a:extLst>
        </cdr:cNvPr>
        <cdr:cNvCxnSpPr/>
      </cdr:nvCxnSpPr>
      <cdr:spPr>
        <a:xfrm xmlns:a="http://schemas.openxmlformats.org/drawingml/2006/main">
          <a:off x="8640573" y="1566053"/>
          <a:ext cx="676890" cy="776225"/>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0.3357</cdr:x>
      <cdr:y>0.5413</cdr:y>
    </cdr:from>
    <cdr:to>
      <cdr:x>0.56061</cdr:x>
      <cdr:y>0.5873</cdr:y>
    </cdr:to>
    <cdr:sp macro="" textlink="">
      <cdr:nvSpPr>
        <cdr:cNvPr id="21" name="TextBox 3">
          <a:extLst xmlns:a="http://schemas.openxmlformats.org/drawingml/2006/main">
            <a:ext uri="{FF2B5EF4-FFF2-40B4-BE49-F238E27FC236}">
              <a16:creationId xmlns:a16="http://schemas.microsoft.com/office/drawing/2014/main" id="{C0F62E8D-E054-CECB-EBDB-C1786EB56E1E}"/>
            </a:ext>
          </a:extLst>
        </cdr:cNvPr>
        <cdr:cNvSpPr txBox="1"/>
      </cdr:nvSpPr>
      <cdr:spPr>
        <a:xfrm xmlns:a="http://schemas.openxmlformats.org/drawingml/2006/main">
          <a:off x="4051966" y="3464780"/>
          <a:ext cx="2714594" cy="294437"/>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tx1"/>
              </a:solidFill>
              <a:latin typeface="Calibri Light" panose="020F0302020204030204" pitchFamily="34" charset="0"/>
              <a:ea typeface="Calibri Light" panose="020F0302020204030204" pitchFamily="34" charset="0"/>
              <a:cs typeface="Calibri Light" panose="020F0302020204030204" pitchFamily="34" charset="0"/>
            </a:rPr>
            <a:t>Eurodrone</a:t>
          </a:r>
          <a:r>
            <a:rPr lang="en-US" sz="1400" baseline="0">
              <a:solidFill>
                <a:schemeClr val="tx1"/>
              </a:solidFill>
              <a:latin typeface="Calibri Light" panose="020F0302020204030204" pitchFamily="34" charset="0"/>
              <a:ea typeface="Calibri Light" panose="020F0302020204030204" pitchFamily="34" charset="0"/>
              <a:cs typeface="Calibri Light" panose="020F0302020204030204" pitchFamily="34" charset="0"/>
            </a:rPr>
            <a:t> development</a:t>
          </a:r>
          <a:r>
            <a:rPr lang="en-US" sz="1400">
              <a:solidFill>
                <a:schemeClr val="tx1"/>
              </a:solidFill>
              <a:latin typeface="Calibri Light" panose="020F0302020204030204" pitchFamily="34" charset="0"/>
              <a:ea typeface="Calibri Light" panose="020F0302020204030204" pitchFamily="34" charset="0"/>
              <a:cs typeface="Calibri Light" panose="020F0302020204030204" pitchFamily="34" charset="0"/>
            </a:rPr>
            <a:t> - </a:t>
          </a:r>
          <a:r>
            <a:rPr lang="en-US" sz="1400">
              <a:solidFill>
                <a:schemeClr val="tx1"/>
              </a:solidFill>
              <a:effectLst/>
              <a:latin typeface="Calibri Light" panose="020F0302020204030204" pitchFamily="34" charset="0"/>
              <a:ea typeface="Calibri Light" panose="020F0302020204030204" pitchFamily="34" charset="0"/>
              <a:cs typeface="Calibri Light" panose="020F0302020204030204" pitchFamily="34" charset="0"/>
            </a:rPr>
            <a:t>€3.1 bn</a:t>
          </a:r>
        </a:p>
        <a:p xmlns:a="http://schemas.openxmlformats.org/drawingml/2006/main">
          <a:endParaRPr lang="en-US" sz="1100">
            <a:solidFill>
              <a:schemeClr val="dk1"/>
            </a:solidFill>
            <a:effectLst/>
            <a:latin typeface="Times New Roman" panose="02020603050405020304" pitchFamily="18" charset="0"/>
            <a:ea typeface="+mn-ea"/>
            <a:cs typeface="Times New Roman" panose="02020603050405020304" pitchFamily="18" charset="0"/>
          </a:endParaRPr>
        </a:p>
      </cdr:txBody>
    </cdr:sp>
  </cdr:relSizeAnchor>
  <cdr:relSizeAnchor xmlns:cdr="http://schemas.openxmlformats.org/drawingml/2006/chartDrawing">
    <cdr:from>
      <cdr:x>0.33402</cdr:x>
      <cdr:y>0.58928</cdr:y>
    </cdr:from>
    <cdr:to>
      <cdr:x>0.37501</cdr:x>
      <cdr:y>0.67481</cdr:y>
    </cdr:to>
    <cdr:cxnSp macro="">
      <cdr:nvCxnSpPr>
        <cdr:cNvPr id="27" name="Straight Arrow Connector 26">
          <a:extLst xmlns:a="http://schemas.openxmlformats.org/drawingml/2006/main">
            <a:ext uri="{FF2B5EF4-FFF2-40B4-BE49-F238E27FC236}">
              <a16:creationId xmlns:a16="http://schemas.microsoft.com/office/drawing/2014/main" id="{7A710D46-E7C4-9479-BD3C-FE2886225255}"/>
            </a:ext>
          </a:extLst>
        </cdr:cNvPr>
        <cdr:cNvCxnSpPr/>
      </cdr:nvCxnSpPr>
      <cdr:spPr>
        <a:xfrm xmlns:a="http://schemas.openxmlformats.org/drawingml/2006/main" flipH="1">
          <a:off x="4031599" y="3771854"/>
          <a:ext cx="494753" cy="547461"/>
        </a:xfrm>
        <a:prstGeom xmlns:a="http://schemas.openxmlformats.org/drawingml/2006/main" prst="straightConnector1">
          <a:avLst/>
        </a:prstGeom>
        <a:ln xmlns:a="http://schemas.openxmlformats.org/drawingml/2006/main">
          <a:tailEnd type="triangle"/>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dr:relSizeAnchor xmlns:cdr="http://schemas.openxmlformats.org/drawingml/2006/chartDrawing">
    <cdr:from>
      <cdr:x>0.87886</cdr:x>
      <cdr:y>0.43176</cdr:y>
    </cdr:from>
    <cdr:to>
      <cdr:x>0.94444</cdr:x>
      <cdr:y>0.53571</cdr:y>
    </cdr:to>
    <cdr:sp macro="" textlink="">
      <cdr:nvSpPr>
        <cdr:cNvPr id="14" name="TextBox 9">
          <a:extLst xmlns:a="http://schemas.openxmlformats.org/drawingml/2006/main">
            <a:ext uri="{FF2B5EF4-FFF2-40B4-BE49-F238E27FC236}">
              <a16:creationId xmlns:a16="http://schemas.microsoft.com/office/drawing/2014/main" id="{A595CD86-B1A0-C389-291C-5A24F431F756}"/>
            </a:ext>
          </a:extLst>
        </cdr:cNvPr>
        <cdr:cNvSpPr txBox="1"/>
      </cdr:nvSpPr>
      <cdr:spPr>
        <a:xfrm xmlns:a="http://schemas.openxmlformats.org/drawingml/2006/main">
          <a:off x="10607912" y="2763579"/>
          <a:ext cx="791607" cy="665421"/>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400">
              <a:latin typeface="Calibri Light" panose="020F0302020204030204" pitchFamily="34" charset="0"/>
              <a:ea typeface="Calibri Light" panose="020F0302020204030204" pitchFamily="34" charset="0"/>
              <a:cs typeface="Calibri Light" panose="020F0302020204030204" pitchFamily="34" charset="0"/>
            </a:rPr>
            <a:t>Patriot missile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€3</a:t>
          </a:r>
          <a:r>
            <a:rPr lang="en-US" sz="1400">
              <a:latin typeface="Calibri Light" panose="020F0302020204030204" pitchFamily="34" charset="0"/>
              <a:ea typeface="Calibri Light" panose="020F0302020204030204" pitchFamily="34" charset="0"/>
              <a:cs typeface="Calibri Light" panose="020F0302020204030204" pitchFamily="34" charset="0"/>
            </a:rPr>
            <a:t> bn</a:t>
          </a:r>
        </a:p>
        <a:p xmlns:a="http://schemas.openxmlformats.org/drawingml/2006/main">
          <a:endParaRPr lang="en-US" sz="1100"/>
        </a:p>
      </cdr:txBody>
    </cdr:sp>
  </cdr:relSizeAnchor>
  <cdr:relSizeAnchor xmlns:cdr="http://schemas.openxmlformats.org/drawingml/2006/chartDrawing">
    <cdr:from>
      <cdr:x>0.8734</cdr:x>
      <cdr:y>0.54642</cdr:y>
    </cdr:from>
    <cdr:to>
      <cdr:x>0.89646</cdr:x>
      <cdr:y>0.64803</cdr:y>
    </cdr:to>
    <cdr:cxnSp macro="">
      <cdr:nvCxnSpPr>
        <cdr:cNvPr id="15" name="Straight Arrow Connector 14">
          <a:extLst xmlns:a="http://schemas.openxmlformats.org/drawingml/2006/main">
            <a:ext uri="{FF2B5EF4-FFF2-40B4-BE49-F238E27FC236}">
              <a16:creationId xmlns:a16="http://schemas.microsoft.com/office/drawing/2014/main" id="{D483E510-2AA9-5D26-1742-F9E0815BD0B4}"/>
            </a:ext>
          </a:extLst>
        </cdr:cNvPr>
        <cdr:cNvCxnSpPr/>
      </cdr:nvCxnSpPr>
      <cdr:spPr>
        <a:xfrm xmlns:a="http://schemas.openxmlformats.org/drawingml/2006/main" flipH="1">
          <a:off x="10542058" y="3497553"/>
          <a:ext cx="278336" cy="650385"/>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0.7896</cdr:x>
      <cdr:y>0.4092</cdr:y>
    </cdr:from>
    <cdr:to>
      <cdr:x>0.85417</cdr:x>
      <cdr:y>0.48572</cdr:y>
    </cdr:to>
    <cdr:sp macro="" textlink="">
      <cdr:nvSpPr>
        <cdr:cNvPr id="18" name="TextBox 9">
          <a:extLst xmlns:a="http://schemas.openxmlformats.org/drawingml/2006/main">
            <a:ext uri="{FF2B5EF4-FFF2-40B4-BE49-F238E27FC236}">
              <a16:creationId xmlns:a16="http://schemas.microsoft.com/office/drawing/2014/main" id="{C839C921-DB96-7095-A4D1-0FAC1ADA4499}"/>
            </a:ext>
          </a:extLst>
        </cdr:cNvPr>
        <cdr:cNvSpPr txBox="1"/>
      </cdr:nvSpPr>
      <cdr:spPr>
        <a:xfrm xmlns:a="http://schemas.openxmlformats.org/drawingml/2006/main">
          <a:off x="9530584" y="2619186"/>
          <a:ext cx="779275" cy="489789"/>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400">
              <a:latin typeface="Calibri Light" panose="020F0302020204030204" pitchFamily="34" charset="0"/>
              <a:ea typeface="Calibri Light" panose="020F0302020204030204" pitchFamily="34" charset="0"/>
              <a:cs typeface="Calibri Light" panose="020F0302020204030204" pitchFamily="34" charset="0"/>
            </a:rPr>
            <a:t>Arrow 3 -</a:t>
          </a:r>
          <a:r>
            <a:rPr lang="en-US" sz="1400" baseline="0">
              <a:latin typeface="Calibri Light" panose="020F0302020204030204" pitchFamily="34" charset="0"/>
              <a:ea typeface="Calibri Light" panose="020F0302020204030204" pitchFamily="34" charset="0"/>
              <a:cs typeface="Calibri Light" panose="020F0302020204030204" pitchFamily="34" charset="0"/>
            </a:rPr>
            <a:t>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€4 bn</a:t>
          </a:r>
          <a:endParaRPr lang="en-US" sz="1400">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endParaRPr lang="en-US" sz="1100">
            <a:latin typeface="Times New Roman" panose="02020603050405020304" pitchFamily="18" charset="0"/>
            <a:cs typeface="Times New Roman" panose="02020603050405020304" pitchFamily="18" charset="0"/>
          </a:endParaRPr>
        </a:p>
        <a:p xmlns:a="http://schemas.openxmlformats.org/drawingml/2006/main">
          <a:endParaRPr lang="en-US" sz="1100"/>
        </a:p>
      </cdr:txBody>
    </cdr:sp>
  </cdr:relSizeAnchor>
  <cdr:relSizeAnchor xmlns:cdr="http://schemas.openxmlformats.org/drawingml/2006/chartDrawing">
    <cdr:from>
      <cdr:x>0.79903</cdr:x>
      <cdr:y>0.48026</cdr:y>
    </cdr:from>
    <cdr:to>
      <cdr:x>0.8213</cdr:x>
      <cdr:y>0.59465</cdr:y>
    </cdr:to>
    <cdr:cxnSp macro="">
      <cdr:nvCxnSpPr>
        <cdr:cNvPr id="22" name="Straight Arrow Connector 21">
          <a:extLst xmlns:a="http://schemas.openxmlformats.org/drawingml/2006/main">
            <a:ext uri="{FF2B5EF4-FFF2-40B4-BE49-F238E27FC236}">
              <a16:creationId xmlns:a16="http://schemas.microsoft.com/office/drawing/2014/main" id="{48C8AAD8-1507-5CB9-BCEF-BC7F2F68C7FD}"/>
            </a:ext>
          </a:extLst>
        </cdr:cNvPr>
        <cdr:cNvCxnSpPr/>
      </cdr:nvCxnSpPr>
      <cdr:spPr>
        <a:xfrm xmlns:a="http://schemas.openxmlformats.org/drawingml/2006/main">
          <a:off x="9644337" y="3074039"/>
          <a:ext cx="268800" cy="732188"/>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0.23043</cdr:x>
      <cdr:y>0.05336</cdr:y>
    </cdr:from>
    <cdr:to>
      <cdr:x>0.57197</cdr:x>
      <cdr:y>0.29167</cdr:y>
    </cdr:to>
    <cdr:sp macro="" textlink="">
      <cdr:nvSpPr>
        <cdr:cNvPr id="7" name="TextBox 1">
          <a:extLst xmlns:a="http://schemas.openxmlformats.org/drawingml/2006/main">
            <a:ext uri="{FF2B5EF4-FFF2-40B4-BE49-F238E27FC236}">
              <a16:creationId xmlns:a16="http://schemas.microsoft.com/office/drawing/2014/main" id="{674B21B9-2A5E-31F2-C5DA-73D1B2334BF5}"/>
            </a:ext>
          </a:extLst>
        </cdr:cNvPr>
        <cdr:cNvSpPr txBox="1"/>
      </cdr:nvSpPr>
      <cdr:spPr>
        <a:xfrm xmlns:a="http://schemas.openxmlformats.org/drawingml/2006/main">
          <a:off x="2781300" y="341538"/>
          <a:ext cx="4122420" cy="1525362"/>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600" u="sng">
              <a:latin typeface="Calibri Light" panose="020F0302020204030204" pitchFamily="34" charset="0"/>
              <a:ea typeface="Calibri Light" panose="020F0302020204030204" pitchFamily="34" charset="0"/>
              <a:cs typeface="Calibri Light" panose="020F0302020204030204" pitchFamily="34" charset="0"/>
            </a:rPr>
            <a:t>Land includes:</a:t>
          </a:r>
        </a:p>
        <a:p xmlns:a="http://schemas.openxmlformats.org/drawingml/2006/main">
          <a:r>
            <a:rPr lang="en-US" sz="1600">
              <a:latin typeface="Calibri Light" panose="020F0302020204030204" pitchFamily="34" charset="0"/>
              <a:ea typeface="Calibri Light" panose="020F0302020204030204" pitchFamily="34" charset="0"/>
              <a:cs typeface="Calibri Light" panose="020F0302020204030204" pitchFamily="34" charset="0"/>
            </a:rPr>
            <a:t>Air defence system, Ammunition, Armoured vehicle,</a:t>
          </a:r>
          <a:r>
            <a:rPr lang="en-US" sz="1600" baseline="0">
              <a:latin typeface="Calibri Light" panose="020F0302020204030204" pitchFamily="34" charset="0"/>
              <a:ea typeface="Calibri Light" panose="020F0302020204030204" pitchFamily="34" charset="0"/>
              <a:cs typeface="Calibri Light" panose="020F0302020204030204" pitchFamily="34" charset="0"/>
            </a:rPr>
            <a:t> Artillery, Drone, Helicopter, Infantry, Main battle tank, Mine, Missile (Land)</a:t>
          </a:r>
        </a:p>
        <a:p xmlns:a="http://schemas.openxmlformats.org/drawingml/2006/main">
          <a:endParaRPr lang="en-US" sz="1600" baseline="0">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r>
            <a:rPr lang="en-US" sz="1600" baseline="0">
              <a:latin typeface="Calibri Light" panose="020F0302020204030204" pitchFamily="34" charset="0"/>
              <a:ea typeface="Calibri Light" panose="020F0302020204030204" pitchFamily="34" charset="0"/>
              <a:cs typeface="Calibri Light" panose="020F0302020204030204" pitchFamily="34" charset="0"/>
            </a:rPr>
            <a:t>Each category includes costs for development</a:t>
          </a:r>
        </a:p>
      </cdr:txBody>
    </cdr:sp>
  </cdr:relSizeAnchor>
  <cdr:relSizeAnchor xmlns:cdr="http://schemas.openxmlformats.org/drawingml/2006/chartDrawing">
    <cdr:from>
      <cdr:x>0.9274</cdr:x>
      <cdr:y>0.34643</cdr:y>
    </cdr:from>
    <cdr:to>
      <cdr:x>0.97358</cdr:x>
      <cdr:y>0.51746</cdr:y>
    </cdr:to>
    <cdr:cxnSp macro="">
      <cdr:nvCxnSpPr>
        <cdr:cNvPr id="5" name="Straight Arrow Connector 4">
          <a:extLst xmlns:a="http://schemas.openxmlformats.org/drawingml/2006/main">
            <a:ext uri="{FF2B5EF4-FFF2-40B4-BE49-F238E27FC236}">
              <a16:creationId xmlns:a16="http://schemas.microsoft.com/office/drawing/2014/main" id="{B3600720-DB21-D46C-6830-B1EAC0198E25}"/>
            </a:ext>
          </a:extLst>
        </cdr:cNvPr>
        <cdr:cNvCxnSpPr/>
      </cdr:nvCxnSpPr>
      <cdr:spPr>
        <a:xfrm xmlns:a="http://schemas.openxmlformats.org/drawingml/2006/main">
          <a:off x="11193741" y="2217444"/>
          <a:ext cx="557396" cy="1094729"/>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0.80177</cdr:x>
      <cdr:y>0.2707</cdr:y>
    </cdr:from>
    <cdr:to>
      <cdr:x>1</cdr:x>
      <cdr:y>0.33929</cdr:y>
    </cdr:to>
    <cdr:sp macro="" textlink="">
      <cdr:nvSpPr>
        <cdr:cNvPr id="9" name="TextBox 9">
          <a:extLst xmlns:a="http://schemas.openxmlformats.org/drawingml/2006/main">
            <a:ext uri="{FF2B5EF4-FFF2-40B4-BE49-F238E27FC236}">
              <a16:creationId xmlns:a16="http://schemas.microsoft.com/office/drawing/2014/main" id="{CEB3406D-6071-8E8C-0116-E93AA43FF87D}"/>
            </a:ext>
          </a:extLst>
        </cdr:cNvPr>
        <cdr:cNvSpPr txBox="1"/>
      </cdr:nvSpPr>
      <cdr:spPr>
        <a:xfrm xmlns:a="http://schemas.openxmlformats.org/drawingml/2006/main">
          <a:off x="9677400" y="1732694"/>
          <a:ext cx="2392680" cy="439030"/>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400">
              <a:latin typeface="Calibri Light" panose="020F0302020204030204" pitchFamily="34" charset="0"/>
              <a:ea typeface="Calibri Light" panose="020F0302020204030204" pitchFamily="34" charset="0"/>
              <a:cs typeface="Calibri Light" panose="020F0302020204030204" pitchFamily="34" charset="0"/>
            </a:rPr>
            <a:t>Leopard 2 -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€2.9</a:t>
          </a:r>
          <a:r>
            <a:rPr lang="en-US" sz="1400">
              <a:latin typeface="Calibri Light" panose="020F0302020204030204" pitchFamily="34" charset="0"/>
              <a:ea typeface="Calibri Light" panose="020F0302020204030204" pitchFamily="34" charset="0"/>
              <a:cs typeface="Calibri Light" panose="020F0302020204030204" pitchFamily="34" charset="0"/>
            </a:rPr>
            <a:t> bn</a:t>
          </a:r>
        </a:p>
        <a:p xmlns:a="http://schemas.openxmlformats.org/drawingml/2006/main">
          <a:r>
            <a:rPr lang="en-US" sz="1400">
              <a:latin typeface="Calibri Light" panose="020F0302020204030204" pitchFamily="34" charset="0"/>
              <a:ea typeface="Calibri Light" panose="020F0302020204030204" pitchFamily="34" charset="0"/>
              <a:cs typeface="Calibri Light" panose="020F0302020204030204" pitchFamily="34" charset="0"/>
            </a:rPr>
            <a:t>155mm ammunition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a:t>
          </a:r>
          <a:r>
            <a:rPr lang="en-US" sz="1400">
              <a:latin typeface="Calibri Light" panose="020F0302020204030204" pitchFamily="34" charset="0"/>
              <a:ea typeface="Calibri Light" panose="020F0302020204030204" pitchFamily="34" charset="0"/>
              <a:cs typeface="Calibri Light" panose="020F0302020204030204" pitchFamily="34" charset="0"/>
            </a:rPr>
            <a:t>1.3 bn</a:t>
          </a:r>
        </a:p>
      </cdr:txBody>
    </cdr:sp>
  </cdr:relSizeAnchor>
</c:userShapes>
</file>

<file path=xl/drawings/drawing6.xml><?xml version="1.0" encoding="utf-8"?>
<c:userShapes xmlns:c="http://schemas.openxmlformats.org/drawingml/2006/chart">
  <cdr:relSizeAnchor xmlns:cdr="http://schemas.openxmlformats.org/drawingml/2006/chartDrawing">
    <cdr:from>
      <cdr:x>0.05778</cdr:x>
      <cdr:y>0.09755</cdr:y>
    </cdr:from>
    <cdr:to>
      <cdr:x>0.19609</cdr:x>
      <cdr:y>0.18713</cdr:y>
    </cdr:to>
    <cdr:sp macro="" textlink="">
      <cdr:nvSpPr>
        <cdr:cNvPr id="3" name="TextBox 19">
          <a:extLst xmlns:a="http://schemas.openxmlformats.org/drawingml/2006/main">
            <a:ext uri="{FF2B5EF4-FFF2-40B4-BE49-F238E27FC236}">
              <a16:creationId xmlns:a16="http://schemas.microsoft.com/office/drawing/2014/main" id="{A2DED420-FAA1-BDF2-3E41-D437B3BA1BFF}"/>
            </a:ext>
          </a:extLst>
        </cdr:cNvPr>
        <cdr:cNvSpPr txBox="1"/>
      </cdr:nvSpPr>
      <cdr:spPr>
        <a:xfrm xmlns:a="http://schemas.openxmlformats.org/drawingml/2006/main">
          <a:off x="698267" y="623630"/>
          <a:ext cx="1671553" cy="572710"/>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600">
              <a:latin typeface="Calibri Light" panose="020F0302020204030204" pitchFamily="34" charset="0"/>
              <a:ea typeface="Calibri Light" panose="020F0302020204030204" pitchFamily="34" charset="0"/>
              <a:cs typeface="Calibri Light" panose="020F0302020204030204" pitchFamily="34" charset="0"/>
            </a:rPr>
            <a:t>billion Euros </a:t>
          </a:r>
        </a:p>
        <a:p xmlns:a="http://schemas.openxmlformats.org/drawingml/2006/main">
          <a:r>
            <a:rPr lang="en-US" sz="1600">
              <a:latin typeface="Calibri Light" panose="020F0302020204030204" pitchFamily="34" charset="0"/>
              <a:ea typeface="Calibri Light" panose="020F0302020204030204" pitchFamily="34" charset="0"/>
              <a:cs typeface="Calibri Light" panose="020F0302020204030204" pitchFamily="34" charset="0"/>
            </a:rPr>
            <a:t>Total:</a:t>
          </a:r>
          <a:r>
            <a:rPr lang="en-US" sz="1600" baseline="0">
              <a:latin typeface="Calibri Light" panose="020F0302020204030204" pitchFamily="34" charset="0"/>
              <a:ea typeface="Calibri Light" panose="020F0302020204030204" pitchFamily="34" charset="0"/>
              <a:cs typeface="Calibri Light" panose="020F0302020204030204" pitchFamily="34" charset="0"/>
            </a:rPr>
            <a:t> </a:t>
          </a:r>
          <a:r>
            <a:rPr lang="en-US" sz="16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€134.6 bn</a:t>
          </a:r>
          <a:endParaRPr lang="en-US" sz="1600">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0.1767</cdr:x>
      <cdr:y>0.22955</cdr:y>
    </cdr:from>
    <cdr:to>
      <cdr:x>0.34501</cdr:x>
      <cdr:y>0.2806</cdr:y>
    </cdr:to>
    <cdr:sp macro="" textlink="">
      <cdr:nvSpPr>
        <cdr:cNvPr id="4" name="TextBox 16">
          <a:extLst xmlns:a="http://schemas.openxmlformats.org/drawingml/2006/main">
            <a:ext uri="{FF2B5EF4-FFF2-40B4-BE49-F238E27FC236}">
              <a16:creationId xmlns:a16="http://schemas.microsoft.com/office/drawing/2014/main" id="{0A175FA4-0DC4-43AE-9263-493F919E58B3}"/>
            </a:ext>
          </a:extLst>
        </cdr:cNvPr>
        <cdr:cNvSpPr txBox="1"/>
      </cdr:nvSpPr>
      <cdr:spPr>
        <a:xfrm xmlns:a="http://schemas.openxmlformats.org/drawingml/2006/main">
          <a:off x="2099250" y="1438147"/>
          <a:ext cx="1999523" cy="319830"/>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Class F126</a:t>
          </a:r>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ship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€5.6 bn</a:t>
          </a:r>
          <a:endParaRPr lang="en-US" sz="14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p>
      </cdr:txBody>
    </cdr:sp>
  </cdr:relSizeAnchor>
  <cdr:relSizeAnchor xmlns:cdr="http://schemas.openxmlformats.org/drawingml/2006/chartDrawing">
    <cdr:from>
      <cdr:x>0.17843</cdr:x>
      <cdr:y>0.28845</cdr:y>
    </cdr:from>
    <cdr:to>
      <cdr:x>0.22279</cdr:x>
      <cdr:y>0.41549</cdr:y>
    </cdr:to>
    <cdr:cxnSp macro="">
      <cdr:nvCxnSpPr>
        <cdr:cNvPr id="5" name="Straight Arrow Connector 4">
          <a:extLst xmlns:a="http://schemas.openxmlformats.org/drawingml/2006/main">
            <a:ext uri="{FF2B5EF4-FFF2-40B4-BE49-F238E27FC236}">
              <a16:creationId xmlns:a16="http://schemas.microsoft.com/office/drawing/2014/main" id="{F6A9B282-F22E-4D5A-8252-50B50C71C91C}"/>
            </a:ext>
          </a:extLst>
        </cdr:cNvPr>
        <cdr:cNvCxnSpPr/>
      </cdr:nvCxnSpPr>
      <cdr:spPr>
        <a:xfrm xmlns:a="http://schemas.openxmlformats.org/drawingml/2006/main" flipH="1">
          <a:off x="2119728" y="1807147"/>
          <a:ext cx="526997" cy="795909"/>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0.38101</cdr:x>
      <cdr:y>0.2181</cdr:y>
    </cdr:from>
    <cdr:to>
      <cdr:x>0.55072</cdr:x>
      <cdr:y>0.36734</cdr:y>
    </cdr:to>
    <cdr:sp macro="" textlink="">
      <cdr:nvSpPr>
        <cdr:cNvPr id="6" name="TextBox 3">
          <a:extLst xmlns:a="http://schemas.openxmlformats.org/drawingml/2006/main">
            <a:ext uri="{FF2B5EF4-FFF2-40B4-BE49-F238E27FC236}">
              <a16:creationId xmlns:a16="http://schemas.microsoft.com/office/drawing/2014/main" id="{F8CAF2E1-8BF1-7DA9-D6F5-BC2B2354071F}"/>
            </a:ext>
          </a:extLst>
        </cdr:cNvPr>
        <cdr:cNvSpPr txBox="1"/>
      </cdr:nvSpPr>
      <cdr:spPr>
        <a:xfrm xmlns:a="http://schemas.openxmlformats.org/drawingml/2006/main">
          <a:off x="4526415" y="1366396"/>
          <a:ext cx="2016155" cy="934993"/>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latin typeface="Calibri Light" panose="020F0302020204030204" pitchFamily="34" charset="0"/>
              <a:ea typeface="Calibri Light" panose="020F0302020204030204" pitchFamily="34" charset="0"/>
              <a:cs typeface="Calibri Light" panose="020F0302020204030204" pitchFamily="34" charset="0"/>
            </a:rPr>
            <a:t>Future Combat Air System project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€4.4 bn</a:t>
          </a:r>
        </a:p>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Class 424 ship - €2.1 bn</a:t>
          </a:r>
          <a:endParaRPr lang="en-US" sz="14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U212 submarine -</a:t>
          </a:r>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€2 bn</a:t>
          </a:r>
          <a:endParaRPr lang="en-US" sz="1400">
            <a:effectLst/>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solidFill>
              <a:schemeClr val="dk1"/>
            </a:solidFill>
            <a:effectLst/>
            <a:latin typeface="Times New Roman" panose="02020603050405020304" pitchFamily="18" charset="0"/>
            <a:ea typeface="+mn-ea"/>
            <a:cs typeface="Times New Roman" panose="02020603050405020304" pitchFamily="18" charset="0"/>
          </a:endParaRP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0.38086</cdr:x>
      <cdr:y>0.3902</cdr:y>
    </cdr:from>
    <cdr:to>
      <cdr:x>0.44602</cdr:x>
      <cdr:y>0.51251</cdr:y>
    </cdr:to>
    <cdr:cxnSp macro="">
      <cdr:nvCxnSpPr>
        <cdr:cNvPr id="11" name="Straight Arrow Connector 10">
          <a:extLst xmlns:a="http://schemas.openxmlformats.org/drawingml/2006/main">
            <a:ext uri="{FF2B5EF4-FFF2-40B4-BE49-F238E27FC236}">
              <a16:creationId xmlns:a16="http://schemas.microsoft.com/office/drawing/2014/main" id="{D28453E8-9CE1-4B63-7637-5833EDF664EA}"/>
            </a:ext>
          </a:extLst>
        </cdr:cNvPr>
        <cdr:cNvCxnSpPr/>
      </cdr:nvCxnSpPr>
      <cdr:spPr>
        <a:xfrm xmlns:a="http://schemas.openxmlformats.org/drawingml/2006/main" flipH="1">
          <a:off x="4524612" y="2444635"/>
          <a:ext cx="774059" cy="766280"/>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0.49704</cdr:x>
      <cdr:y>0.43799</cdr:y>
    </cdr:from>
    <cdr:to>
      <cdr:x>0.65214</cdr:x>
      <cdr:y>0.48287</cdr:y>
    </cdr:to>
    <cdr:sp macro="" textlink="">
      <cdr:nvSpPr>
        <cdr:cNvPr id="12" name="TextBox 14">
          <a:extLst xmlns:a="http://schemas.openxmlformats.org/drawingml/2006/main">
            <a:ext uri="{FF2B5EF4-FFF2-40B4-BE49-F238E27FC236}">
              <a16:creationId xmlns:a16="http://schemas.microsoft.com/office/drawing/2014/main" id="{888E77C8-9ADC-4DF3-9329-0A4B1D23BF68}"/>
            </a:ext>
          </a:extLst>
        </cdr:cNvPr>
        <cdr:cNvSpPr txBox="1"/>
      </cdr:nvSpPr>
      <cdr:spPr>
        <a:xfrm xmlns:a="http://schemas.openxmlformats.org/drawingml/2006/main">
          <a:off x="5904806" y="2744011"/>
          <a:ext cx="1842588" cy="281174"/>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F-35A fighter</a:t>
          </a:r>
          <a:r>
            <a:rPr lang="en-US" sz="1400" baseline="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 €8.3 bn</a:t>
          </a:r>
          <a:endParaRPr lang="en-US" sz="1400">
            <a:effectLst/>
            <a:latin typeface="Calibri Light" panose="020F0302020204030204" pitchFamily="34" charset="0"/>
            <a:ea typeface="Calibri Light" panose="020F0302020204030204" pitchFamily="34" charset="0"/>
            <a:cs typeface="Calibri Light" panose="020F0302020204030204" pitchFamily="34" charset="0"/>
          </a:endParaRPr>
        </a:p>
      </cdr:txBody>
    </cdr:sp>
  </cdr:relSizeAnchor>
  <cdr:relSizeAnchor xmlns:cdr="http://schemas.openxmlformats.org/drawingml/2006/chartDrawing">
    <cdr:from>
      <cdr:x>0.61014</cdr:x>
      <cdr:y>0.50014</cdr:y>
    </cdr:from>
    <cdr:to>
      <cdr:x>0.65771</cdr:x>
      <cdr:y>0.61772</cdr:y>
    </cdr:to>
    <cdr:cxnSp macro="">
      <cdr:nvCxnSpPr>
        <cdr:cNvPr id="13" name="Straight Arrow Connector 12">
          <a:extLst xmlns:a="http://schemas.openxmlformats.org/drawingml/2006/main">
            <a:ext uri="{FF2B5EF4-FFF2-40B4-BE49-F238E27FC236}">
              <a16:creationId xmlns:a16="http://schemas.microsoft.com/office/drawing/2014/main" id="{1D620CBA-5BEF-4CC1-A026-7741866B087A}"/>
            </a:ext>
          </a:extLst>
        </cdr:cNvPr>
        <cdr:cNvCxnSpPr/>
      </cdr:nvCxnSpPr>
      <cdr:spPr>
        <a:xfrm xmlns:a="http://schemas.openxmlformats.org/drawingml/2006/main">
          <a:off x="7373754" y="3197454"/>
          <a:ext cx="574898" cy="751710"/>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0.87364</cdr:x>
      <cdr:y>0.24531</cdr:y>
    </cdr:from>
    <cdr:to>
      <cdr:x>0.99559</cdr:x>
      <cdr:y>0.35995</cdr:y>
    </cdr:to>
    <cdr:sp macro="" textlink="">
      <cdr:nvSpPr>
        <cdr:cNvPr id="19" name="TextBox 9">
          <a:extLst xmlns:a="http://schemas.openxmlformats.org/drawingml/2006/main">
            <a:ext uri="{FF2B5EF4-FFF2-40B4-BE49-F238E27FC236}">
              <a16:creationId xmlns:a16="http://schemas.microsoft.com/office/drawing/2014/main" id="{D9DAF369-FD2E-45C9-97AB-917F35607EAB}"/>
            </a:ext>
          </a:extLst>
        </cdr:cNvPr>
        <cdr:cNvSpPr txBox="1"/>
      </cdr:nvSpPr>
      <cdr:spPr>
        <a:xfrm xmlns:a="http://schemas.openxmlformats.org/drawingml/2006/main">
          <a:off x="10558233" y="1568286"/>
          <a:ext cx="1473747" cy="732954"/>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400">
              <a:latin typeface="Calibri Light" panose="020F0302020204030204" pitchFamily="34" charset="0"/>
              <a:ea typeface="Calibri Light" panose="020F0302020204030204" pitchFamily="34" charset="0"/>
              <a:cs typeface="Calibri Light" panose="020F0302020204030204" pitchFamily="34" charset="0"/>
            </a:rPr>
            <a:t>Military vehicle maintentance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a:t>
          </a:r>
          <a:r>
            <a:rPr lang="en-US" sz="1400">
              <a:latin typeface="Calibri Light" panose="020F0302020204030204" pitchFamily="34" charset="0"/>
              <a:ea typeface="Calibri Light" panose="020F0302020204030204" pitchFamily="34" charset="0"/>
              <a:cs typeface="Calibri Light" panose="020F0302020204030204" pitchFamily="34" charset="0"/>
            </a:rPr>
            <a:t>13.4 bn</a:t>
          </a:r>
        </a:p>
        <a:p xmlns:a="http://schemas.openxmlformats.org/drawingml/2006/main">
          <a:endParaRPr lang="en-US" sz="1100"/>
        </a:p>
      </cdr:txBody>
    </cdr:sp>
  </cdr:relSizeAnchor>
  <cdr:relSizeAnchor xmlns:cdr="http://schemas.openxmlformats.org/drawingml/2006/chartDrawing">
    <cdr:from>
      <cdr:x>0.86313</cdr:x>
      <cdr:y>0.35399</cdr:y>
    </cdr:from>
    <cdr:to>
      <cdr:x>0.90921</cdr:x>
      <cdr:y>0.47761</cdr:y>
    </cdr:to>
    <cdr:cxnSp macro="">
      <cdr:nvCxnSpPr>
        <cdr:cNvPr id="20" name="Straight Arrow Connector 19">
          <a:extLst xmlns:a="http://schemas.openxmlformats.org/drawingml/2006/main">
            <a:ext uri="{FF2B5EF4-FFF2-40B4-BE49-F238E27FC236}">
              <a16:creationId xmlns:a16="http://schemas.microsoft.com/office/drawing/2014/main" id="{3479F456-9CA4-4669-8D3B-6D43AAB04EFD}"/>
            </a:ext>
          </a:extLst>
        </cdr:cNvPr>
        <cdr:cNvCxnSpPr/>
      </cdr:nvCxnSpPr>
      <cdr:spPr>
        <a:xfrm xmlns:a="http://schemas.openxmlformats.org/drawingml/2006/main" flipH="1">
          <a:off x="10431173" y="2263125"/>
          <a:ext cx="556892" cy="790325"/>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0.21012</cdr:x>
      <cdr:y>0.3636</cdr:y>
    </cdr:from>
    <cdr:to>
      <cdr:x>0.35466</cdr:x>
      <cdr:y>0.40358</cdr:y>
    </cdr:to>
    <cdr:sp macro="" textlink="">
      <cdr:nvSpPr>
        <cdr:cNvPr id="7" name="TextBox 2">
          <a:extLst xmlns:a="http://schemas.openxmlformats.org/drawingml/2006/main">
            <a:ext uri="{FF2B5EF4-FFF2-40B4-BE49-F238E27FC236}">
              <a16:creationId xmlns:a16="http://schemas.microsoft.com/office/drawing/2014/main" id="{350991D1-BDEB-D5FC-EC56-D27E53F01834}"/>
            </a:ext>
          </a:extLst>
        </cdr:cNvPr>
        <cdr:cNvSpPr txBox="1"/>
      </cdr:nvSpPr>
      <cdr:spPr>
        <a:xfrm xmlns:a="http://schemas.openxmlformats.org/drawingml/2006/main">
          <a:off x="2496238" y="2277993"/>
          <a:ext cx="1717135" cy="250476"/>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40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rPr>
            <a:t>Eurofighter - </a:t>
          </a:r>
          <a:r>
            <a:rPr lang="en-US" sz="1400">
              <a:solidFill>
                <a:sysClr val="windowText" lastClr="000000"/>
              </a:solidFill>
              <a:effectLst/>
              <a:latin typeface="Calibri Light" panose="020F0302020204030204" pitchFamily="34" charset="0"/>
              <a:ea typeface="Calibri Light" panose="020F0302020204030204" pitchFamily="34" charset="0"/>
              <a:cs typeface="Calibri Light" panose="020F0302020204030204" pitchFamily="34" charset="0"/>
            </a:rPr>
            <a:t>€5.5 bn</a:t>
          </a:r>
        </a:p>
        <a:p xmlns:a="http://schemas.openxmlformats.org/drawingml/2006/main">
          <a:r>
            <a:rPr lang="en-US" sz="1100"/>
            <a:t> </a:t>
          </a:r>
        </a:p>
      </cdr:txBody>
    </cdr:sp>
  </cdr:relSizeAnchor>
  <cdr:relSizeAnchor xmlns:cdr="http://schemas.openxmlformats.org/drawingml/2006/chartDrawing">
    <cdr:from>
      <cdr:x>0.26055</cdr:x>
      <cdr:y>0.41923</cdr:y>
    </cdr:from>
    <cdr:to>
      <cdr:x>0.28739</cdr:x>
      <cdr:y>0.5138</cdr:y>
    </cdr:to>
    <cdr:cxnSp macro="">
      <cdr:nvCxnSpPr>
        <cdr:cNvPr id="16" name="Straight Arrow Connector 15">
          <a:extLst xmlns:a="http://schemas.openxmlformats.org/drawingml/2006/main">
            <a:ext uri="{FF2B5EF4-FFF2-40B4-BE49-F238E27FC236}">
              <a16:creationId xmlns:a16="http://schemas.microsoft.com/office/drawing/2014/main" id="{D3E11DE1-A132-358D-69DF-9867CB71EF4C}"/>
            </a:ext>
          </a:extLst>
        </cdr:cNvPr>
        <cdr:cNvCxnSpPr/>
      </cdr:nvCxnSpPr>
      <cdr:spPr>
        <a:xfrm xmlns:a="http://schemas.openxmlformats.org/drawingml/2006/main" flipH="1">
          <a:off x="3095331" y="2626507"/>
          <a:ext cx="318859" cy="592483"/>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0.43443</cdr:x>
      <cdr:y>0.562</cdr:y>
    </cdr:from>
    <cdr:to>
      <cdr:x>0.57447</cdr:x>
      <cdr:y>0.65435</cdr:y>
    </cdr:to>
    <cdr:sp macro="" textlink="">
      <cdr:nvSpPr>
        <cdr:cNvPr id="30" name="TextBox 14">
          <a:extLst xmlns:a="http://schemas.openxmlformats.org/drawingml/2006/main">
            <a:ext uri="{FF2B5EF4-FFF2-40B4-BE49-F238E27FC236}">
              <a16:creationId xmlns:a16="http://schemas.microsoft.com/office/drawing/2014/main" id="{684B5A66-AEA3-E1EB-63F2-10915443EC44}"/>
            </a:ext>
          </a:extLst>
        </cdr:cNvPr>
        <cdr:cNvSpPr txBox="1"/>
      </cdr:nvSpPr>
      <cdr:spPr>
        <a:xfrm xmlns:a="http://schemas.openxmlformats.org/drawingml/2006/main">
          <a:off x="5250180" y="3592945"/>
          <a:ext cx="1692522" cy="590435"/>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latin typeface="Calibri Light" panose="020F0302020204030204" pitchFamily="34" charset="0"/>
              <a:ea typeface="Calibri Light" panose="020F0302020204030204" pitchFamily="34" charset="0"/>
              <a:cs typeface="Calibri Light" panose="020F0302020204030204" pitchFamily="34" charset="0"/>
            </a:rPr>
            <a:t>Clothing &amp; personal equipment - </a:t>
          </a:r>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€6.9 bn</a:t>
          </a:r>
          <a:endParaRPr lang="en-US" sz="1400">
            <a:latin typeface="Calibri Light" panose="020F0302020204030204" pitchFamily="34" charset="0"/>
            <a:ea typeface="Calibri Light" panose="020F0302020204030204" pitchFamily="34" charset="0"/>
            <a:cs typeface="Calibri Light" panose="020F0302020204030204" pitchFamily="34" charset="0"/>
          </a:endParaRPr>
        </a:p>
      </cdr:txBody>
    </cdr:sp>
  </cdr:relSizeAnchor>
  <cdr:relSizeAnchor xmlns:cdr="http://schemas.openxmlformats.org/drawingml/2006/chartDrawing">
    <cdr:from>
      <cdr:x>0.53783</cdr:x>
      <cdr:y>0.64243</cdr:y>
    </cdr:from>
    <cdr:to>
      <cdr:x>0.57007</cdr:x>
      <cdr:y>0.72805</cdr:y>
    </cdr:to>
    <cdr:cxnSp macro="">
      <cdr:nvCxnSpPr>
        <cdr:cNvPr id="32" name="Straight Arrow Connector 31">
          <a:extLst xmlns:a="http://schemas.openxmlformats.org/drawingml/2006/main">
            <a:ext uri="{FF2B5EF4-FFF2-40B4-BE49-F238E27FC236}">
              <a16:creationId xmlns:a16="http://schemas.microsoft.com/office/drawing/2014/main" id="{E5FB51F3-34F3-F1B0-745B-79C76FB0BF87}"/>
            </a:ext>
          </a:extLst>
        </cdr:cNvPr>
        <cdr:cNvCxnSpPr/>
      </cdr:nvCxnSpPr>
      <cdr:spPr>
        <a:xfrm xmlns:a="http://schemas.openxmlformats.org/drawingml/2006/main">
          <a:off x="6499833" y="4107194"/>
          <a:ext cx="389631" cy="547384"/>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0.66539</cdr:x>
      <cdr:y>0.32754</cdr:y>
    </cdr:from>
    <cdr:to>
      <cdr:x>0.82554</cdr:x>
      <cdr:y>0.36971</cdr:y>
    </cdr:to>
    <cdr:sp macro="" textlink="">
      <cdr:nvSpPr>
        <cdr:cNvPr id="40" name="TextBox 10">
          <a:extLst xmlns:a="http://schemas.openxmlformats.org/drawingml/2006/main">
            <a:ext uri="{FF2B5EF4-FFF2-40B4-BE49-F238E27FC236}">
              <a16:creationId xmlns:a16="http://schemas.microsoft.com/office/drawing/2014/main" id="{6E339E33-970A-6598-51B7-1A6788D9D75A}"/>
            </a:ext>
          </a:extLst>
        </cdr:cNvPr>
        <cdr:cNvSpPr txBox="1"/>
      </cdr:nvSpPr>
      <cdr:spPr>
        <a:xfrm xmlns:a="http://schemas.openxmlformats.org/drawingml/2006/main">
          <a:off x="7904805" y="2052040"/>
          <a:ext cx="1902582" cy="264196"/>
        </a:xfrm>
        <a:prstGeom xmlns:a="http://schemas.openxmlformats.org/drawingml/2006/main" prst="rect">
          <a:avLst/>
        </a:prstGeom>
        <a:solidFill xmlns:a="http://schemas.openxmlformats.org/drawingml/2006/main">
          <a:sysClr val="window" lastClr="FFFFFF"/>
        </a:solidFill>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en-US" sz="1400">
              <a:latin typeface="Calibri Light" panose="020F0302020204030204" pitchFamily="34" charset="0"/>
              <a:ea typeface="Calibri Light" panose="020F0302020204030204" pitchFamily="34" charset="0"/>
              <a:cs typeface="Calibri Light" panose="020F0302020204030204" pitchFamily="34" charset="0"/>
            </a:rPr>
            <a:t>CH-47F Chinook - </a:t>
          </a:r>
          <a:r>
            <a:rPr lang="en-US" sz="1400">
              <a:solidFill>
                <a:schemeClr val="tx1"/>
              </a:solidFill>
              <a:effectLst/>
              <a:latin typeface="Calibri Light" panose="020F0302020204030204" pitchFamily="34" charset="0"/>
              <a:ea typeface="Calibri Light" panose="020F0302020204030204" pitchFamily="34" charset="0"/>
              <a:cs typeface="Calibri Light" panose="020F0302020204030204" pitchFamily="34" charset="0"/>
            </a:rPr>
            <a:t>€7 bn</a:t>
          </a:r>
        </a:p>
      </cdr:txBody>
    </cdr:sp>
  </cdr:relSizeAnchor>
  <cdr:relSizeAnchor xmlns:cdr="http://schemas.openxmlformats.org/drawingml/2006/chartDrawing">
    <cdr:from>
      <cdr:x>0.74256</cdr:x>
      <cdr:y>0.37378</cdr:y>
    </cdr:from>
    <cdr:to>
      <cdr:x>0.77518</cdr:x>
      <cdr:y>0.46021</cdr:y>
    </cdr:to>
    <cdr:cxnSp macro="">
      <cdr:nvCxnSpPr>
        <cdr:cNvPr id="42" name="Straight Arrow Connector 41">
          <a:extLst xmlns:a="http://schemas.openxmlformats.org/drawingml/2006/main">
            <a:ext uri="{FF2B5EF4-FFF2-40B4-BE49-F238E27FC236}">
              <a16:creationId xmlns:a16="http://schemas.microsoft.com/office/drawing/2014/main" id="{A461CC11-8CF3-D709-E109-5FD2C8BA7FD6}"/>
            </a:ext>
          </a:extLst>
        </cdr:cNvPr>
        <cdr:cNvCxnSpPr/>
      </cdr:nvCxnSpPr>
      <cdr:spPr>
        <a:xfrm xmlns:a="http://schemas.openxmlformats.org/drawingml/2006/main">
          <a:off x="8795338" y="2389613"/>
          <a:ext cx="386373" cy="552563"/>
        </a:xfrm>
        <a:prstGeom xmlns:a="http://schemas.openxmlformats.org/drawingml/2006/main" prst="straightConnector1">
          <a:avLst/>
        </a:prstGeom>
        <a:ln xmlns:a="http://schemas.openxmlformats.org/drawingml/2006/main">
          <a:solidFill>
            <a:sysClr val="windowText" lastClr="000000"/>
          </a:solidFill>
          <a:tailEnd type="triangle"/>
        </a:l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userShapes>
</file>

<file path=xl/drawings/drawing60.xml><?xml version="1.0" encoding="utf-8"?>
<xdr:wsDr xmlns:xdr="http://schemas.openxmlformats.org/drawingml/2006/spreadsheetDrawing" xmlns:a="http://schemas.openxmlformats.org/drawingml/2006/main">
  <xdr:twoCellAnchor>
    <xdr:from>
      <xdr:col>8</xdr:col>
      <xdr:colOff>0</xdr:colOff>
      <xdr:row>5</xdr:row>
      <xdr:rowOff>0</xdr:rowOff>
    </xdr:from>
    <xdr:to>
      <xdr:col>24</xdr:col>
      <xdr:colOff>655320</xdr:colOff>
      <xdr:row>28</xdr:row>
      <xdr:rowOff>167640</xdr:rowOff>
    </xdr:to>
    <xdr:graphicFrame macro="">
      <xdr:nvGraphicFramePr>
        <xdr:cNvPr id="2" name="Chart 1">
          <a:extLst>
            <a:ext uri="{FF2B5EF4-FFF2-40B4-BE49-F238E27FC236}">
              <a16:creationId xmlns:a16="http://schemas.microsoft.com/office/drawing/2014/main" id="{4EA2E4F4-3586-431D-AEE5-ACD45B8116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1.xml><?xml version="1.0" encoding="utf-8"?>
<c:userShapes xmlns:c="http://schemas.openxmlformats.org/drawingml/2006/chart">
  <cdr:relSizeAnchor xmlns:cdr="http://schemas.openxmlformats.org/drawingml/2006/chartDrawing">
    <cdr:from>
      <cdr:x>0.7957</cdr:x>
      <cdr:y>0.02023</cdr:y>
    </cdr:from>
    <cdr:to>
      <cdr:x>1</cdr:x>
      <cdr:y>0.17764</cdr:y>
    </cdr:to>
    <cdr:sp macro="" textlink="">
      <cdr:nvSpPr>
        <cdr:cNvPr id="2" name="TextBox 19">
          <a:extLst xmlns:a="http://schemas.openxmlformats.org/drawingml/2006/main">
            <a:ext uri="{FF2B5EF4-FFF2-40B4-BE49-F238E27FC236}">
              <a16:creationId xmlns:a16="http://schemas.microsoft.com/office/drawing/2014/main" id="{57FA2436-B935-39F0-DF62-332691C0FB19}"/>
            </a:ext>
          </a:extLst>
        </cdr:cNvPr>
        <cdr:cNvSpPr txBox="1"/>
      </cdr:nvSpPr>
      <cdr:spPr>
        <a:xfrm xmlns:a="http://schemas.openxmlformats.org/drawingml/2006/main">
          <a:off x="6202681" y="73767"/>
          <a:ext cx="1592579" cy="573933"/>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600">
              <a:latin typeface="Calibri Light" panose="020F0302020204030204" pitchFamily="34" charset="0"/>
              <a:ea typeface="Calibri Light" panose="020F0302020204030204" pitchFamily="34" charset="0"/>
              <a:cs typeface="Calibri Light" panose="020F0302020204030204" pitchFamily="34" charset="0"/>
            </a:rPr>
            <a:t>billion Euros</a:t>
          </a:r>
        </a:p>
        <a:p xmlns:a="http://schemas.openxmlformats.org/drawingml/2006/main">
          <a:r>
            <a:rPr lang="en-US" sz="1600">
              <a:latin typeface="Calibri Light" panose="020F0302020204030204" pitchFamily="34" charset="0"/>
              <a:ea typeface="Calibri Light" panose="020F0302020204030204" pitchFamily="34" charset="0"/>
              <a:cs typeface="Calibri Light" panose="020F0302020204030204" pitchFamily="34" charset="0"/>
            </a:rPr>
            <a:t>Total:</a:t>
          </a:r>
          <a:r>
            <a:rPr lang="en-US" sz="1600" baseline="0">
              <a:latin typeface="Calibri Light" panose="020F0302020204030204" pitchFamily="34" charset="0"/>
              <a:ea typeface="Calibri Light" panose="020F0302020204030204" pitchFamily="34" charset="0"/>
              <a:cs typeface="Calibri Light" panose="020F0302020204030204" pitchFamily="34" charset="0"/>
            </a:rPr>
            <a:t> </a:t>
          </a:r>
          <a:r>
            <a:rPr lang="en-US" sz="16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€44.1 bn</a:t>
          </a:r>
          <a:endParaRPr lang="en-US" sz="1600">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0.39763</cdr:x>
      <cdr:y>0.80973</cdr:y>
    </cdr:from>
    <cdr:to>
      <cdr:x>0.49405</cdr:x>
      <cdr:y>0.8815</cdr:y>
    </cdr:to>
    <cdr:sp macro="" textlink="">
      <cdr:nvSpPr>
        <cdr:cNvPr id="3" name="TextBox 19">
          <a:extLst xmlns:a="http://schemas.openxmlformats.org/drawingml/2006/main">
            <a:ext uri="{FF2B5EF4-FFF2-40B4-BE49-F238E27FC236}">
              <a16:creationId xmlns:a16="http://schemas.microsoft.com/office/drawing/2014/main" id="{16E67DC5-A514-7BDB-B14C-D9CCC6C29954}"/>
            </a:ext>
          </a:extLst>
        </cdr:cNvPr>
        <cdr:cNvSpPr txBox="1"/>
      </cdr:nvSpPr>
      <cdr:spPr>
        <a:xfrm xmlns:a="http://schemas.openxmlformats.org/drawingml/2006/main">
          <a:off x="4478206" y="3881007"/>
          <a:ext cx="1085917" cy="343992"/>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€2.5 bn</a:t>
          </a:r>
          <a:endParaRPr lang="en-US" sz="1400">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0.62343</cdr:x>
      <cdr:y>0.06163</cdr:y>
    </cdr:from>
    <cdr:to>
      <cdr:x>0.73433</cdr:x>
      <cdr:y>0.12675</cdr:y>
    </cdr:to>
    <cdr:sp macro="" textlink="">
      <cdr:nvSpPr>
        <cdr:cNvPr id="5" name="TextBox 19">
          <a:extLst xmlns:a="http://schemas.openxmlformats.org/drawingml/2006/main">
            <a:ext uri="{FF2B5EF4-FFF2-40B4-BE49-F238E27FC236}">
              <a16:creationId xmlns:a16="http://schemas.microsoft.com/office/drawing/2014/main" id="{16E67DC5-A514-7BDB-B14C-D9CCC6C29954}"/>
            </a:ext>
          </a:extLst>
        </cdr:cNvPr>
        <cdr:cNvSpPr txBox="1"/>
      </cdr:nvSpPr>
      <cdr:spPr>
        <a:xfrm xmlns:a="http://schemas.openxmlformats.org/drawingml/2006/main">
          <a:off x="7021237" y="295380"/>
          <a:ext cx="1249108" cy="31211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€31.7 bn</a:t>
          </a:r>
          <a:endParaRPr lang="en-US" sz="1400">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0.85454</cdr:x>
      <cdr:y>0.74396</cdr:y>
    </cdr:from>
    <cdr:to>
      <cdr:x>0.95435</cdr:x>
      <cdr:y>0.80286</cdr:y>
    </cdr:to>
    <cdr:sp macro="" textlink="">
      <cdr:nvSpPr>
        <cdr:cNvPr id="6" name="TextBox 19">
          <a:extLst xmlns:a="http://schemas.openxmlformats.org/drawingml/2006/main">
            <a:ext uri="{FF2B5EF4-FFF2-40B4-BE49-F238E27FC236}">
              <a16:creationId xmlns:a16="http://schemas.microsoft.com/office/drawing/2014/main" id="{16E67DC5-A514-7BDB-B14C-D9CCC6C29954}"/>
            </a:ext>
          </a:extLst>
        </cdr:cNvPr>
        <cdr:cNvSpPr txBox="1"/>
      </cdr:nvSpPr>
      <cdr:spPr>
        <a:xfrm xmlns:a="http://schemas.openxmlformats.org/drawingml/2006/main">
          <a:off x="9624191" y="3565777"/>
          <a:ext cx="1124096" cy="282324"/>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€4.8 bn</a:t>
          </a:r>
          <a:endParaRPr lang="en-US" sz="1400">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0.17093</cdr:x>
      <cdr:y>0.74153</cdr:y>
    </cdr:from>
    <cdr:to>
      <cdr:x>0.27679</cdr:x>
      <cdr:y>0.78696</cdr:y>
    </cdr:to>
    <cdr:sp macro="" textlink="">
      <cdr:nvSpPr>
        <cdr:cNvPr id="4" name="TextBox 19">
          <a:extLst xmlns:a="http://schemas.openxmlformats.org/drawingml/2006/main">
            <a:ext uri="{FF2B5EF4-FFF2-40B4-BE49-F238E27FC236}">
              <a16:creationId xmlns:a16="http://schemas.microsoft.com/office/drawing/2014/main" id="{BFEED1AF-7851-1A4A-C0EE-2F36CE885819}"/>
            </a:ext>
          </a:extLst>
        </cdr:cNvPr>
        <cdr:cNvSpPr txBox="1"/>
      </cdr:nvSpPr>
      <cdr:spPr>
        <a:xfrm xmlns:a="http://schemas.openxmlformats.org/drawingml/2006/main">
          <a:off x="1925070" y="3554133"/>
          <a:ext cx="1192233" cy="217768"/>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400">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€5.1 bn</a:t>
          </a:r>
          <a:endParaRPr lang="en-US" sz="1400">
            <a:latin typeface="Calibri Light" panose="020F0302020204030204" pitchFamily="34" charset="0"/>
            <a:ea typeface="Calibri Light" panose="020F0302020204030204" pitchFamily="34" charset="0"/>
            <a:cs typeface="Calibri Light" panose="020F0302020204030204" pitchFamily="34" charset="0"/>
          </a:endParaRPr>
        </a:p>
        <a:p xmlns:a="http://schemas.openxmlformats.org/drawingml/2006/main">
          <a:endParaRPr lang="en-US" sz="1100">
            <a:latin typeface="Times New Roman" panose="02020603050405020304" pitchFamily="18" charset="0"/>
            <a:cs typeface="Times New Roman" panose="02020603050405020304" pitchFamily="18" charset="0"/>
          </a:endParaRPr>
        </a:p>
      </cdr:txBody>
    </cdr:sp>
  </cdr:relSizeAnchor>
</c:userShapes>
</file>

<file path=xl/drawings/drawing7.xml><?xml version="1.0" encoding="utf-8"?>
<xdr:wsDr xmlns:xdr="http://schemas.openxmlformats.org/drawingml/2006/spreadsheetDrawing" xmlns:a="http://schemas.openxmlformats.org/drawingml/2006/main">
  <xdr:twoCellAnchor>
    <xdr:from>
      <xdr:col>9</xdr:col>
      <xdr:colOff>0</xdr:colOff>
      <xdr:row>5</xdr:row>
      <xdr:rowOff>0</xdr:rowOff>
    </xdr:from>
    <xdr:to>
      <xdr:col>20</xdr:col>
      <xdr:colOff>662940</xdr:colOff>
      <xdr:row>24</xdr:row>
      <xdr:rowOff>0</xdr:rowOff>
    </xdr:to>
    <xdr:graphicFrame macro="">
      <xdr:nvGraphicFramePr>
        <xdr:cNvPr id="2" name="Chart 1">
          <a:extLst>
            <a:ext uri="{FF2B5EF4-FFF2-40B4-BE49-F238E27FC236}">
              <a16:creationId xmlns:a16="http://schemas.microsoft.com/office/drawing/2014/main" id="{04C0970D-C6CF-4091-86C0-1E91DAC741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0.61554</cdr:x>
      <cdr:y>0.10313</cdr:y>
    </cdr:from>
    <cdr:to>
      <cdr:x>0.86024</cdr:x>
      <cdr:y>0.23544</cdr:y>
    </cdr:to>
    <cdr:sp macro="" textlink="">
      <cdr:nvSpPr>
        <cdr:cNvPr id="6" name="TextBox 1">
          <a:extLst xmlns:a="http://schemas.openxmlformats.org/drawingml/2006/main">
            <a:ext uri="{FF2B5EF4-FFF2-40B4-BE49-F238E27FC236}">
              <a16:creationId xmlns:a16="http://schemas.microsoft.com/office/drawing/2014/main" id="{9B234FC0-5A99-5431-1322-6D56F2984F1A}"/>
            </a:ext>
          </a:extLst>
        </cdr:cNvPr>
        <cdr:cNvSpPr txBox="1"/>
      </cdr:nvSpPr>
      <cdr:spPr>
        <a:xfrm xmlns:a="http://schemas.openxmlformats.org/drawingml/2006/main">
          <a:off x="4948382" y="395290"/>
          <a:ext cx="1967168" cy="507126"/>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600" b="1">
              <a:latin typeface="Calibri Light" panose="020F0302020204030204" pitchFamily="34" charset="0"/>
              <a:ea typeface="Calibri Light" panose="020F0302020204030204" pitchFamily="34" charset="0"/>
              <a:cs typeface="Calibri Light" panose="020F0302020204030204" pitchFamily="34" charset="0"/>
            </a:rPr>
            <a:t>Total military orders: </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1600" b="1">
              <a:solidFill>
                <a:schemeClr val="dk1"/>
              </a:solidFill>
              <a:effectLst/>
              <a:latin typeface="Calibri Light" panose="020F0302020204030204" pitchFamily="34" charset="0"/>
              <a:ea typeface="Calibri Light" panose="020F0302020204030204" pitchFamily="34" charset="0"/>
              <a:cs typeface="Calibri Light" panose="020F0302020204030204" pitchFamily="34" charset="0"/>
            </a:rPr>
            <a:t>€</a:t>
          </a:r>
          <a:r>
            <a:rPr lang="en-US" sz="1600" b="1">
              <a:latin typeface="Calibri Light" panose="020F0302020204030204" pitchFamily="34" charset="0"/>
              <a:ea typeface="Calibri Light" panose="020F0302020204030204" pitchFamily="34" charset="0"/>
              <a:cs typeface="Calibri Light" panose="020F0302020204030204" pitchFamily="34" charset="0"/>
            </a:rPr>
            <a:t>134.6 billion</a:t>
          </a:r>
        </a:p>
      </cdr:txBody>
    </cdr:sp>
  </cdr:relSizeAnchor>
</c:userShapes>
</file>

<file path=xl/drawings/drawing9.xml><?xml version="1.0" encoding="utf-8"?>
<xdr:wsDr xmlns:xdr="http://schemas.openxmlformats.org/drawingml/2006/spreadsheetDrawing" xmlns:a="http://schemas.openxmlformats.org/drawingml/2006/main">
  <xdr:twoCellAnchor>
    <xdr:from>
      <xdr:col>5</xdr:col>
      <xdr:colOff>7620</xdr:colOff>
      <xdr:row>5</xdr:row>
      <xdr:rowOff>0</xdr:rowOff>
    </xdr:from>
    <xdr:to>
      <xdr:col>22</xdr:col>
      <xdr:colOff>414077</xdr:colOff>
      <xdr:row>36</xdr:row>
      <xdr:rowOff>190500</xdr:rowOff>
    </xdr:to>
    <xdr:graphicFrame macro="">
      <xdr:nvGraphicFramePr>
        <xdr:cNvPr id="2" name="Chart 1">
          <a:extLst>
            <a:ext uri="{FF2B5EF4-FFF2-40B4-BE49-F238E27FC236}">
              <a16:creationId xmlns:a16="http://schemas.microsoft.com/office/drawing/2014/main" id="{508B9E0C-490A-4F8D-BFFA-BFD53D18C7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7-11T14:49:10.075"/>
    </inkml:context>
    <inkml:brush xml:id="br0">
      <inkml:brushProperty name="width" value="0.05" units="cm"/>
      <inkml:brushProperty name="height" value="0.05" units="cm"/>
      <inkml:brushProperty name="color" value="#E71224"/>
    </inkml:brush>
  </inkml:definitions>
  <inkml:trace contextRef="#ctx0" brushRef="#br0">0 1 24575</inkml:trace>
</inkml:ink>
</file>

<file path=xl/ink/ink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8-30T10:13:07.334"/>
    </inkml:context>
    <inkml:brush xml:id="br0">
      <inkml:brushProperty name="width" value="0.05" units="cm"/>
      <inkml:brushProperty name="height" value="0.05" units="cm"/>
      <inkml:brushProperty name="color" value="#E71224"/>
    </inkml:brush>
  </inkml:definitions>
  <inkml:trace contextRef="#ctx0" brushRef="#br0">0 1 24575</inkml:trace>
</inkml:ink>
</file>

<file path=xl/ink/ink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8-30T10:13:10.412"/>
    </inkml:context>
    <inkml:brush xml:id="br0">
      <inkml:brushProperty name="width" value="0.05" units="cm"/>
      <inkml:brushProperty name="height" value="0.05" units="cm"/>
      <inkml:brushProperty name="color" value="#E71224"/>
    </inkml:brush>
  </inkml:definitions>
  <inkml:trace contextRef="#ctx0" brushRef="#br0">0 1 24575</inkml:trace>
</inkml:ink>
</file>

<file path=xl/ink/ink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8-30T10:13:14.272"/>
    </inkml:context>
    <inkml:brush xml:id="br0">
      <inkml:brushProperty name="width" value="0.05" units="cm"/>
      <inkml:brushProperty name="height" value="0.05" units="cm"/>
      <inkml:brushProperty name="color" value="#E71224"/>
    </inkml:brush>
  </inkml:definitions>
  <inkml:trace contextRef="#ctx0" brushRef="#br0">0 1 24575</inkml:trace>
</inkm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xml.rels><?xml version="1.0" encoding="UTF-8" standalone="yes"?>
<Relationships xmlns="http://schemas.openxmlformats.org/package/2006/relationships"><Relationship Id="rId3" Type="http://schemas.openxmlformats.org/officeDocument/2006/relationships/hyperlink" Target="https://www.bmvg.de/de/aktuelles/bundeswehr-bekommt-123-neue-radpanzer-fuer-infanteriekraefte-5761102" TargetMode="External"/><Relationship Id="rId2" Type="http://schemas.openxmlformats.org/officeDocument/2006/relationships/hyperlink" Target="https://www.bmvg.de/de/aktuelles/bundeswehr-kann-35-f-35a-fuer-rund-8-3-milliarden-euro-kaufen-5540934" TargetMode="External"/><Relationship Id="rId1" Type="http://schemas.openxmlformats.org/officeDocument/2006/relationships/hyperlink" Target="https://www.bmvg.de/de/aktuelles/bundeswehr-kann-g36-nachfolger-beschaffen-5540930" TargetMode="External"/><Relationship Id="rId4"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40.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44.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46.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48.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50.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52.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4.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56.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58.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60.xm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BD8FAC-624A-4196-A27A-45D53A17FEB9}">
  <sheetPr>
    <tabColor theme="0" tint="-0.14999847407452621"/>
  </sheetPr>
  <dimension ref="A2:R140"/>
  <sheetViews>
    <sheetView tabSelected="1" workbookViewId="0"/>
  </sheetViews>
  <sheetFormatPr defaultColWidth="9" defaultRowHeight="15.6"/>
  <cols>
    <col min="1" max="1" width="8.59765625" style="113" customWidth="1"/>
    <col min="2" max="2" width="32.5" style="115" customWidth="1"/>
    <col min="3" max="16384" width="9" style="115"/>
  </cols>
  <sheetData>
    <row r="2" spans="2:18" ht="15.9" customHeight="1">
      <c r="B2" s="203" t="s">
        <v>0</v>
      </c>
      <c r="C2" s="203"/>
      <c r="D2" s="203"/>
      <c r="E2" s="203"/>
      <c r="F2" s="203"/>
      <c r="G2" s="203"/>
      <c r="H2" s="203"/>
      <c r="I2" s="203"/>
      <c r="J2" s="203"/>
      <c r="K2" s="203"/>
      <c r="L2" s="203"/>
      <c r="M2" s="203"/>
      <c r="N2" s="119"/>
      <c r="O2" s="118"/>
    </row>
    <row r="3" spans="2:18" ht="15.9" customHeight="1">
      <c r="B3" s="203"/>
      <c r="C3" s="203"/>
      <c r="D3" s="203"/>
      <c r="E3" s="203"/>
      <c r="F3" s="203"/>
      <c r="G3" s="203"/>
      <c r="H3" s="203"/>
      <c r="I3" s="203"/>
      <c r="J3" s="203"/>
      <c r="K3" s="203"/>
      <c r="L3" s="203"/>
      <c r="M3" s="203"/>
      <c r="N3" s="119"/>
      <c r="O3" s="118"/>
    </row>
    <row r="4" spans="2:18" ht="15.9" customHeight="1">
      <c r="B4" s="120"/>
      <c r="C4" s="120"/>
      <c r="D4" s="120"/>
      <c r="E4" s="120"/>
      <c r="F4" s="120"/>
      <c r="G4" s="120"/>
      <c r="H4" s="120"/>
      <c r="I4" s="120"/>
      <c r="J4" s="120"/>
      <c r="K4" s="120"/>
      <c r="L4" s="120"/>
      <c r="M4" s="120"/>
      <c r="N4" s="120"/>
      <c r="O4" s="118"/>
    </row>
    <row r="5" spans="2:18" ht="15.9" customHeight="1">
      <c r="B5" s="200" t="s">
        <v>1</v>
      </c>
      <c r="C5" s="200"/>
      <c r="D5" s="200"/>
      <c r="E5" s="200"/>
      <c r="F5" s="200"/>
      <c r="G5" s="200"/>
      <c r="H5" s="200"/>
      <c r="I5" s="200"/>
      <c r="J5" s="200"/>
      <c r="K5" s="200"/>
      <c r="L5" s="200"/>
      <c r="M5" s="200"/>
      <c r="N5" s="119"/>
      <c r="O5" s="118"/>
    </row>
    <row r="6" spans="2:18" ht="15.9" customHeight="1">
      <c r="B6" s="200"/>
      <c r="C6" s="200"/>
      <c r="D6" s="200"/>
      <c r="E6" s="200"/>
      <c r="F6" s="200"/>
      <c r="G6" s="200"/>
      <c r="H6" s="200"/>
      <c r="I6" s="200"/>
      <c r="J6" s="200"/>
      <c r="K6" s="200"/>
      <c r="L6" s="200"/>
      <c r="M6" s="200"/>
      <c r="N6" s="119"/>
      <c r="O6" s="118"/>
    </row>
    <row r="7" spans="2:18" ht="15.9" customHeight="1">
      <c r="B7" s="121"/>
      <c r="C7" s="121"/>
      <c r="D7" s="121"/>
      <c r="E7" s="121"/>
      <c r="F7" s="121"/>
      <c r="G7" s="121"/>
      <c r="H7" s="121"/>
      <c r="I7" s="121"/>
      <c r="J7" s="121"/>
      <c r="K7" s="121"/>
      <c r="L7" s="121"/>
      <c r="M7" s="121"/>
      <c r="N7" s="119"/>
      <c r="O7" s="118"/>
    </row>
    <row r="8" spans="2:18" ht="15.9" customHeight="1">
      <c r="B8" s="122" t="s">
        <v>2</v>
      </c>
      <c r="D8" s="123"/>
      <c r="E8" s="123"/>
      <c r="F8" s="123"/>
      <c r="G8" s="123"/>
      <c r="H8" s="123"/>
      <c r="I8" s="123"/>
      <c r="J8" s="123"/>
      <c r="K8" s="123"/>
      <c r="L8" s="124"/>
      <c r="M8" s="124"/>
      <c r="N8" s="118"/>
      <c r="O8" s="118"/>
    </row>
    <row r="9" spans="2:18" ht="15.9" customHeight="1">
      <c r="B9" s="125"/>
      <c r="D9" s="123"/>
      <c r="E9" s="123"/>
      <c r="F9" s="123"/>
      <c r="G9" s="123"/>
      <c r="H9" s="123"/>
      <c r="I9" s="123"/>
      <c r="J9" s="123"/>
      <c r="K9" s="123"/>
      <c r="L9" s="124"/>
      <c r="M9" s="124"/>
      <c r="N9" s="118"/>
      <c r="O9" s="118"/>
    </row>
    <row r="10" spans="2:18" ht="15.9" customHeight="1">
      <c r="B10" s="202" t="s">
        <v>3</v>
      </c>
      <c r="C10" s="202"/>
      <c r="D10" s="202"/>
      <c r="E10" s="202"/>
      <c r="F10" s="202"/>
      <c r="G10" s="202"/>
      <c r="H10" s="202"/>
      <c r="I10" s="202"/>
      <c r="J10" s="202"/>
      <c r="K10" s="202"/>
      <c r="L10" s="202"/>
      <c r="M10" s="202"/>
      <c r="N10" s="133"/>
      <c r="O10" s="133"/>
      <c r="P10" s="133"/>
      <c r="Q10" s="133"/>
      <c r="R10" s="114"/>
    </row>
    <row r="11" spans="2:18" ht="15.9" customHeight="1">
      <c r="B11" s="116"/>
      <c r="C11" s="114"/>
      <c r="D11" s="114"/>
      <c r="E11" s="114"/>
      <c r="F11" s="114"/>
      <c r="G11" s="114"/>
      <c r="H11" s="114"/>
      <c r="I11" s="114"/>
      <c r="J11" s="114"/>
      <c r="K11" s="114"/>
      <c r="L11" s="114"/>
      <c r="M11" s="114"/>
      <c r="N11" s="114"/>
      <c r="O11" s="114"/>
      <c r="P11" s="114"/>
      <c r="Q11" s="114"/>
      <c r="R11" s="114"/>
    </row>
    <row r="12" spans="2:18" ht="15.9" customHeight="1">
      <c r="B12" s="122" t="s">
        <v>4</v>
      </c>
      <c r="C12" s="114"/>
      <c r="D12" s="114"/>
      <c r="E12" s="114"/>
      <c r="F12" s="114"/>
      <c r="G12" s="114"/>
      <c r="H12" s="114"/>
      <c r="I12" s="114"/>
      <c r="J12" s="114"/>
      <c r="K12" s="114"/>
      <c r="L12" s="114"/>
      <c r="M12" s="114"/>
      <c r="N12" s="114"/>
      <c r="O12" s="114"/>
      <c r="P12" s="114"/>
      <c r="Q12" s="114"/>
      <c r="R12" s="114"/>
    </row>
    <row r="13" spans="2:18" ht="15.9" customHeight="1">
      <c r="B13" s="117"/>
      <c r="C13" s="114"/>
      <c r="D13" s="114"/>
      <c r="E13" s="114"/>
      <c r="F13" s="114"/>
      <c r="G13" s="114"/>
      <c r="H13" s="114"/>
      <c r="I13" s="114"/>
      <c r="J13" s="114"/>
      <c r="K13" s="114"/>
      <c r="L13" s="114"/>
      <c r="M13" s="114"/>
      <c r="N13" s="114"/>
      <c r="O13" s="114"/>
      <c r="P13" s="114"/>
      <c r="Q13" s="114"/>
      <c r="R13" s="114"/>
    </row>
    <row r="14" spans="2:18" s="127" customFormat="1" ht="15.9" customHeight="1">
      <c r="B14" s="204" t="s">
        <v>5</v>
      </c>
      <c r="C14" s="204"/>
      <c r="D14" s="204"/>
      <c r="E14" s="204"/>
      <c r="F14" s="204"/>
      <c r="G14" s="204"/>
      <c r="H14" s="204"/>
      <c r="I14" s="204"/>
      <c r="J14" s="204"/>
      <c r="K14" s="204"/>
      <c r="L14" s="204"/>
      <c r="M14" s="204"/>
      <c r="N14" s="204"/>
      <c r="O14" s="204"/>
      <c r="P14" s="204"/>
      <c r="Q14" s="178"/>
      <c r="R14" s="178"/>
    </row>
    <row r="15" spans="2:18" s="127" customFormat="1" ht="15.9" customHeight="1">
      <c r="B15" s="204"/>
      <c r="C15" s="204"/>
      <c r="D15" s="204"/>
      <c r="E15" s="204"/>
      <c r="F15" s="204"/>
      <c r="G15" s="204"/>
      <c r="H15" s="204"/>
      <c r="I15" s="204"/>
      <c r="J15" s="204"/>
      <c r="K15" s="204"/>
      <c r="L15" s="204"/>
      <c r="M15" s="204"/>
      <c r="N15" s="204"/>
      <c r="O15" s="204"/>
      <c r="P15" s="204"/>
      <c r="Q15" s="178"/>
      <c r="R15" s="178"/>
    </row>
    <row r="16" spans="2:18" s="127" customFormat="1" ht="15.9" customHeight="1">
      <c r="B16" s="204"/>
      <c r="C16" s="204"/>
      <c r="D16" s="204"/>
      <c r="E16" s="204"/>
      <c r="F16" s="204"/>
      <c r="G16" s="204"/>
      <c r="H16" s="204"/>
      <c r="I16" s="204"/>
      <c r="J16" s="204"/>
      <c r="K16" s="204"/>
      <c r="L16" s="204"/>
      <c r="M16" s="204"/>
      <c r="N16" s="204"/>
      <c r="O16" s="204"/>
      <c r="P16" s="204"/>
      <c r="Q16" s="178"/>
      <c r="R16" s="178"/>
    </row>
    <row r="17" spans="2:18" s="127" customFormat="1" ht="15.9" customHeight="1">
      <c r="B17" s="204"/>
      <c r="C17" s="204"/>
      <c r="D17" s="204"/>
      <c r="E17" s="204"/>
      <c r="F17" s="204"/>
      <c r="G17" s="204"/>
      <c r="H17" s="204"/>
      <c r="I17" s="204"/>
      <c r="J17" s="204"/>
      <c r="K17" s="204"/>
      <c r="L17" s="204"/>
      <c r="M17" s="204"/>
      <c r="N17" s="204"/>
      <c r="O17" s="204"/>
      <c r="P17" s="204"/>
      <c r="Q17" s="178"/>
      <c r="R17" s="178"/>
    </row>
    <row r="18" spans="2:18" s="127" customFormat="1" ht="15.9" customHeight="1">
      <c r="B18" s="204"/>
      <c r="C18" s="204"/>
      <c r="D18" s="204"/>
      <c r="E18" s="204"/>
      <c r="F18" s="204"/>
      <c r="G18" s="204"/>
      <c r="H18" s="204"/>
      <c r="I18" s="204"/>
      <c r="J18" s="204"/>
      <c r="K18" s="204"/>
      <c r="L18" s="204"/>
      <c r="M18" s="204"/>
      <c r="N18" s="204"/>
      <c r="O18" s="204"/>
      <c r="P18" s="204"/>
      <c r="Q18" s="194"/>
      <c r="R18" s="194"/>
    </row>
    <row r="19" spans="2:18" ht="15.9" customHeight="1">
      <c r="B19" s="126"/>
      <c r="C19" s="126"/>
      <c r="D19" s="126"/>
      <c r="E19" s="126"/>
      <c r="F19" s="126"/>
      <c r="G19" s="126"/>
      <c r="H19" s="126"/>
      <c r="I19" s="126"/>
      <c r="J19" s="126"/>
      <c r="K19" s="126"/>
      <c r="L19" s="126"/>
      <c r="M19" s="126"/>
      <c r="N19" s="126"/>
      <c r="O19" s="128"/>
      <c r="P19" s="128"/>
      <c r="Q19" s="128"/>
      <c r="R19" s="128"/>
    </row>
    <row r="20" spans="2:18" ht="15.9" customHeight="1">
      <c r="B20" s="122" t="s">
        <v>6</v>
      </c>
      <c r="C20" s="201" t="s">
        <v>7</v>
      </c>
      <c r="D20" s="201"/>
      <c r="E20" s="201"/>
      <c r="F20" s="201"/>
      <c r="G20" s="201"/>
      <c r="H20" s="201"/>
      <c r="I20" s="201"/>
      <c r="J20" s="201"/>
      <c r="K20" s="201"/>
      <c r="L20" s="201"/>
      <c r="M20" s="201"/>
      <c r="N20" s="201"/>
      <c r="O20" s="201"/>
      <c r="P20" s="201"/>
      <c r="Q20" s="201"/>
      <c r="R20" s="201"/>
    </row>
    <row r="21" spans="2:18" ht="15.9" customHeight="1">
      <c r="B21" s="129"/>
      <c r="C21" s="201"/>
      <c r="D21" s="201"/>
      <c r="E21" s="201"/>
      <c r="F21" s="201"/>
      <c r="G21" s="201"/>
      <c r="H21" s="201"/>
      <c r="I21" s="201"/>
      <c r="J21" s="201"/>
      <c r="K21" s="201"/>
      <c r="L21" s="201"/>
      <c r="M21" s="201"/>
      <c r="N21" s="201"/>
      <c r="O21" s="201"/>
      <c r="P21" s="201"/>
      <c r="Q21" s="201"/>
      <c r="R21" s="201"/>
    </row>
    <row r="22" spans="2:18" ht="15.9" customHeight="1">
      <c r="B22" s="130"/>
      <c r="C22" s="131"/>
      <c r="D22" s="131"/>
      <c r="E22" s="131"/>
      <c r="F22" s="131"/>
      <c r="G22" s="131"/>
      <c r="H22" s="131"/>
      <c r="I22" s="131"/>
      <c r="J22" s="131"/>
      <c r="K22" s="131"/>
      <c r="L22" s="131"/>
      <c r="M22" s="131"/>
      <c r="N22" s="131"/>
      <c r="O22" s="131"/>
      <c r="P22" s="131"/>
      <c r="Q22" s="131"/>
      <c r="R22" s="131"/>
    </row>
    <row r="23" spans="2:18" ht="15.9" customHeight="1">
      <c r="B23" s="130"/>
      <c r="C23" s="131"/>
      <c r="D23" s="131"/>
      <c r="E23" s="131"/>
      <c r="F23" s="131"/>
      <c r="G23" s="131"/>
      <c r="H23" s="131"/>
      <c r="I23" s="131"/>
      <c r="J23" s="131"/>
      <c r="K23" s="131"/>
      <c r="L23" s="131"/>
      <c r="M23" s="131"/>
      <c r="N23" s="131"/>
      <c r="O23" s="131"/>
      <c r="P23" s="131"/>
      <c r="Q23" s="131"/>
      <c r="R23" s="131"/>
    </row>
    <row r="24" spans="2:18" ht="15.9" customHeight="1">
      <c r="B24" s="122" t="s">
        <v>8</v>
      </c>
      <c r="C24" s="89" t="s">
        <v>9</v>
      </c>
      <c r="D24" s="131"/>
      <c r="E24" s="131"/>
      <c r="F24" s="131"/>
      <c r="G24" s="131"/>
      <c r="H24" s="131"/>
      <c r="I24" s="131"/>
      <c r="J24" s="131"/>
      <c r="K24" s="131"/>
      <c r="L24" s="131"/>
      <c r="M24" s="131"/>
      <c r="N24" s="131"/>
      <c r="O24" s="131"/>
      <c r="P24" s="131"/>
      <c r="Q24" s="131"/>
      <c r="R24" s="131"/>
    </row>
    <row r="25" spans="2:18" ht="15.9" customHeight="1">
      <c r="B25" s="132"/>
    </row>
    <row r="26" spans="2:18" ht="15.9" customHeight="1">
      <c r="B26" s="135" t="s">
        <v>10</v>
      </c>
      <c r="C26" s="195" t="s">
        <v>11</v>
      </c>
    </row>
    <row r="27" spans="2:18" ht="15.9" customHeight="1">
      <c r="B27" s="136"/>
    </row>
    <row r="28" spans="2:18" ht="15.9" customHeight="1">
      <c r="B28" s="138" t="s">
        <v>12</v>
      </c>
      <c r="C28" s="195" t="s">
        <v>13</v>
      </c>
    </row>
    <row r="29" spans="2:18" ht="15.9" customHeight="1">
      <c r="B29" s="136"/>
    </row>
    <row r="30" spans="2:18" ht="15.9" customHeight="1">
      <c r="B30" s="137" t="s">
        <v>14</v>
      </c>
      <c r="C30" s="195" t="s">
        <v>15</v>
      </c>
    </row>
    <row r="31" spans="2:18" ht="15.9" customHeight="1">
      <c r="B31" s="136"/>
    </row>
    <row r="32" spans="2:18" ht="15.9" customHeight="1">
      <c r="B32" s="140" t="s">
        <v>16</v>
      </c>
      <c r="C32" s="195" t="s">
        <v>17</v>
      </c>
    </row>
    <row r="33" spans="2:16" ht="15.9" customHeight="1">
      <c r="B33" s="136"/>
    </row>
    <row r="34" spans="2:16" ht="15.9" customHeight="1">
      <c r="B34" s="139" t="s">
        <v>18</v>
      </c>
      <c r="C34" s="195" t="s">
        <v>19</v>
      </c>
    </row>
    <row r="36" spans="2:16" ht="15.9" customHeight="1"/>
    <row r="38" spans="2:16">
      <c r="B38" s="144" t="s">
        <v>20</v>
      </c>
    </row>
    <row r="39" spans="2:16">
      <c r="B39" s="144"/>
    </row>
    <row r="40" spans="2:16">
      <c r="B40" s="144" t="s">
        <v>21</v>
      </c>
      <c r="C40" s="195"/>
    </row>
    <row r="41" spans="2:16">
      <c r="B41" s="107" t="s">
        <v>22</v>
      </c>
      <c r="C41" s="205" t="s">
        <v>23</v>
      </c>
      <c r="D41" s="205"/>
      <c r="E41" s="205"/>
      <c r="F41" s="205"/>
      <c r="G41" s="205"/>
      <c r="H41" s="205"/>
      <c r="I41" s="205"/>
      <c r="J41" s="205"/>
      <c r="K41" s="205"/>
      <c r="L41" s="205"/>
      <c r="M41" s="205"/>
      <c r="N41" s="205"/>
      <c r="O41" s="205"/>
      <c r="P41" s="205"/>
    </row>
    <row r="42" spans="2:16">
      <c r="B42" s="107" t="s">
        <v>24</v>
      </c>
      <c r="C42" s="205" t="s">
        <v>25</v>
      </c>
      <c r="D42" s="205"/>
      <c r="E42" s="205"/>
      <c r="F42" s="205"/>
      <c r="G42" s="205"/>
      <c r="H42" s="205"/>
      <c r="I42" s="205"/>
      <c r="J42" s="205"/>
      <c r="K42" s="205"/>
      <c r="L42" s="205"/>
      <c r="M42" s="205"/>
      <c r="N42" s="205"/>
      <c r="O42" s="205"/>
      <c r="P42" s="205"/>
    </row>
    <row r="43" spans="2:16">
      <c r="B43" s="107" t="s">
        <v>26</v>
      </c>
      <c r="C43" s="205" t="s">
        <v>27</v>
      </c>
      <c r="D43" s="205"/>
      <c r="E43" s="205"/>
      <c r="F43" s="205"/>
      <c r="G43" s="205"/>
      <c r="H43" s="205"/>
      <c r="I43" s="205"/>
      <c r="J43" s="205"/>
      <c r="K43" s="205"/>
      <c r="L43" s="205"/>
      <c r="M43" s="205"/>
      <c r="N43" s="205"/>
      <c r="O43" s="205"/>
      <c r="P43" s="205"/>
    </row>
    <row r="44" spans="2:16">
      <c r="B44" s="107" t="s">
        <v>28</v>
      </c>
      <c r="C44" s="205" t="s">
        <v>29</v>
      </c>
      <c r="D44" s="205"/>
      <c r="E44" s="205"/>
      <c r="F44" s="205"/>
      <c r="G44" s="205"/>
      <c r="H44" s="205"/>
      <c r="I44" s="205"/>
      <c r="J44" s="205"/>
      <c r="K44" s="205"/>
      <c r="L44" s="205"/>
      <c r="M44" s="205"/>
      <c r="N44" s="205"/>
      <c r="O44" s="205"/>
      <c r="P44" s="205"/>
    </row>
    <row r="45" spans="2:16">
      <c r="B45" s="107" t="s">
        <v>30</v>
      </c>
      <c r="C45" s="205" t="s">
        <v>31</v>
      </c>
      <c r="D45" s="205"/>
      <c r="E45" s="205"/>
      <c r="F45" s="205"/>
      <c r="G45" s="205"/>
      <c r="H45" s="205"/>
      <c r="I45" s="205"/>
      <c r="J45" s="205"/>
      <c r="K45" s="205"/>
      <c r="L45" s="205"/>
      <c r="M45" s="205"/>
      <c r="N45" s="205"/>
      <c r="O45" s="205"/>
      <c r="P45" s="205"/>
    </row>
    <row r="46" spans="2:16">
      <c r="B46" s="107" t="s">
        <v>32</v>
      </c>
      <c r="C46" s="205" t="s">
        <v>33</v>
      </c>
      <c r="D46" s="205"/>
      <c r="E46" s="205"/>
      <c r="F46" s="205"/>
      <c r="G46" s="205"/>
      <c r="H46" s="205"/>
      <c r="I46" s="205"/>
      <c r="J46" s="205"/>
      <c r="K46" s="205"/>
      <c r="L46" s="205"/>
      <c r="M46" s="205"/>
      <c r="N46" s="205"/>
      <c r="O46" s="205"/>
      <c r="P46" s="205"/>
    </row>
    <row r="47" spans="2:16">
      <c r="B47" s="107" t="s">
        <v>34</v>
      </c>
      <c r="C47" s="205" t="s">
        <v>35</v>
      </c>
      <c r="D47" s="205"/>
      <c r="E47" s="205"/>
      <c r="F47" s="205"/>
      <c r="G47" s="205"/>
      <c r="H47" s="205"/>
      <c r="I47" s="205"/>
      <c r="J47" s="205"/>
      <c r="K47" s="205"/>
      <c r="L47" s="205"/>
      <c r="M47" s="205"/>
      <c r="N47" s="205"/>
      <c r="O47" s="205"/>
      <c r="P47" s="205"/>
    </row>
    <row r="48" spans="2:16">
      <c r="B48" s="107" t="s">
        <v>36</v>
      </c>
      <c r="C48" s="205" t="s">
        <v>37</v>
      </c>
      <c r="D48" s="205"/>
      <c r="E48" s="205"/>
      <c r="F48" s="205"/>
      <c r="G48" s="205"/>
      <c r="H48" s="205"/>
      <c r="I48" s="205"/>
      <c r="J48" s="205"/>
      <c r="K48" s="205"/>
      <c r="L48" s="205"/>
      <c r="M48" s="205"/>
      <c r="N48" s="205"/>
      <c r="O48" s="205"/>
      <c r="P48" s="205"/>
    </row>
    <row r="49" spans="2:16">
      <c r="B49" s="107" t="s">
        <v>38</v>
      </c>
      <c r="C49" s="205" t="s">
        <v>39</v>
      </c>
      <c r="D49" s="205"/>
      <c r="E49" s="205"/>
      <c r="F49" s="205"/>
      <c r="G49" s="205"/>
      <c r="H49" s="205"/>
      <c r="I49" s="205"/>
      <c r="J49" s="205"/>
      <c r="K49" s="205"/>
      <c r="L49" s="205"/>
      <c r="M49" s="205"/>
      <c r="N49" s="205"/>
      <c r="O49" s="205"/>
      <c r="P49" s="205"/>
    </row>
    <row r="50" spans="2:16">
      <c r="B50" s="107" t="s">
        <v>40</v>
      </c>
      <c r="C50" s="205" t="s">
        <v>41</v>
      </c>
      <c r="D50" s="205"/>
      <c r="E50" s="205"/>
      <c r="F50" s="205"/>
      <c r="G50" s="205"/>
      <c r="H50" s="205"/>
      <c r="I50" s="205"/>
      <c r="J50" s="205"/>
      <c r="K50" s="205"/>
      <c r="L50" s="205"/>
      <c r="M50" s="205"/>
      <c r="N50" s="205"/>
      <c r="O50" s="205"/>
      <c r="P50" s="205"/>
    </row>
    <row r="51" spans="2:16">
      <c r="B51" s="107" t="s">
        <v>42</v>
      </c>
      <c r="C51" s="205" t="s">
        <v>43</v>
      </c>
      <c r="D51" s="205"/>
      <c r="E51" s="205"/>
      <c r="F51" s="205"/>
      <c r="G51" s="205"/>
      <c r="H51" s="205"/>
      <c r="I51" s="205"/>
      <c r="J51" s="205"/>
      <c r="K51" s="205"/>
      <c r="L51" s="205"/>
      <c r="M51" s="205"/>
      <c r="N51" s="205"/>
      <c r="O51" s="205"/>
      <c r="P51" s="205"/>
    </row>
    <row r="52" spans="2:16">
      <c r="B52" s="107" t="s">
        <v>44</v>
      </c>
      <c r="C52" s="205" t="s">
        <v>45</v>
      </c>
      <c r="D52" s="205"/>
      <c r="E52" s="205"/>
      <c r="F52" s="205"/>
      <c r="G52" s="205"/>
      <c r="H52" s="205"/>
      <c r="I52" s="205"/>
      <c r="J52" s="205"/>
      <c r="K52" s="205"/>
      <c r="L52" s="205"/>
      <c r="M52" s="205"/>
      <c r="N52" s="205"/>
      <c r="O52" s="205"/>
      <c r="P52" s="205"/>
    </row>
    <row r="53" spans="2:16">
      <c r="B53" s="107" t="s">
        <v>46</v>
      </c>
      <c r="C53" s="205" t="s">
        <v>47</v>
      </c>
      <c r="D53" s="205"/>
      <c r="E53" s="205"/>
      <c r="F53" s="205"/>
      <c r="G53" s="205"/>
      <c r="H53" s="205"/>
      <c r="I53" s="205"/>
      <c r="J53" s="205"/>
      <c r="K53" s="205"/>
      <c r="L53" s="205"/>
      <c r="M53" s="205"/>
      <c r="N53" s="205"/>
      <c r="O53" s="205"/>
      <c r="P53" s="205"/>
    </row>
    <row r="54" spans="2:16">
      <c r="B54" s="107" t="s">
        <v>48</v>
      </c>
      <c r="C54" s="205" t="s">
        <v>49</v>
      </c>
      <c r="D54" s="205"/>
      <c r="E54" s="205"/>
      <c r="F54" s="205"/>
      <c r="G54" s="205"/>
      <c r="H54" s="205"/>
      <c r="I54" s="205"/>
      <c r="J54" s="205"/>
      <c r="K54" s="205"/>
      <c r="L54" s="205"/>
      <c r="M54" s="205"/>
      <c r="N54" s="205"/>
      <c r="O54" s="205"/>
      <c r="P54" s="205"/>
    </row>
    <row r="55" spans="2:16">
      <c r="B55" s="107" t="s">
        <v>50</v>
      </c>
      <c r="C55" s="205" t="s">
        <v>51</v>
      </c>
      <c r="D55" s="205"/>
      <c r="E55" s="205"/>
      <c r="F55" s="205"/>
      <c r="G55" s="205"/>
      <c r="H55" s="205"/>
      <c r="I55" s="205"/>
      <c r="J55" s="205"/>
      <c r="K55" s="205"/>
      <c r="L55" s="205"/>
      <c r="M55" s="205"/>
      <c r="N55" s="205"/>
      <c r="O55" s="205"/>
      <c r="P55" s="205"/>
    </row>
    <row r="56" spans="2:16">
      <c r="B56" s="107" t="s">
        <v>52</v>
      </c>
      <c r="C56" s="205" t="s">
        <v>53</v>
      </c>
      <c r="D56" s="205"/>
      <c r="E56" s="205"/>
      <c r="F56" s="205"/>
      <c r="G56" s="205"/>
      <c r="H56" s="205"/>
      <c r="I56" s="205"/>
      <c r="J56" s="205"/>
      <c r="K56" s="205"/>
      <c r="L56" s="205"/>
      <c r="M56" s="205"/>
      <c r="N56" s="205"/>
      <c r="O56" s="205"/>
      <c r="P56" s="205"/>
    </row>
    <row r="57" spans="2:16">
      <c r="B57" s="107" t="s">
        <v>54</v>
      </c>
      <c r="C57" s="205" t="s">
        <v>55</v>
      </c>
      <c r="D57" s="205"/>
      <c r="E57" s="205"/>
      <c r="F57" s="205"/>
      <c r="G57" s="205"/>
      <c r="H57" s="205"/>
      <c r="I57" s="205"/>
      <c r="J57" s="205"/>
      <c r="K57" s="205"/>
      <c r="L57" s="205"/>
      <c r="M57" s="205"/>
      <c r="N57" s="205"/>
      <c r="O57" s="205"/>
      <c r="P57" s="205"/>
    </row>
    <row r="58" spans="2:16">
      <c r="B58" s="107" t="s">
        <v>56</v>
      </c>
      <c r="C58" s="205" t="s">
        <v>57</v>
      </c>
      <c r="D58" s="205"/>
      <c r="E58" s="205"/>
      <c r="F58" s="205"/>
      <c r="G58" s="205"/>
      <c r="H58" s="205"/>
      <c r="I58" s="205"/>
      <c r="J58" s="205"/>
      <c r="K58" s="205"/>
      <c r="L58" s="205"/>
      <c r="M58" s="205"/>
      <c r="N58" s="205"/>
      <c r="O58" s="205"/>
      <c r="P58" s="205"/>
    </row>
    <row r="59" spans="2:16">
      <c r="B59" s="107" t="s">
        <v>58</v>
      </c>
      <c r="C59" s="205" t="s">
        <v>59</v>
      </c>
      <c r="D59" s="205"/>
      <c r="E59" s="205"/>
      <c r="F59" s="205"/>
      <c r="G59" s="205"/>
      <c r="H59" s="205"/>
      <c r="I59" s="205"/>
      <c r="J59" s="205"/>
      <c r="K59" s="205"/>
      <c r="L59" s="205"/>
      <c r="M59" s="205"/>
      <c r="N59" s="205"/>
      <c r="O59" s="205"/>
      <c r="P59" s="205"/>
    </row>
    <row r="60" spans="2:16">
      <c r="B60" s="107" t="s">
        <v>60</v>
      </c>
      <c r="C60" s="205" t="s">
        <v>61</v>
      </c>
      <c r="D60" s="205"/>
      <c r="E60" s="205"/>
      <c r="F60" s="205"/>
      <c r="G60" s="205"/>
      <c r="H60" s="205"/>
      <c r="I60" s="205"/>
      <c r="J60" s="205"/>
      <c r="K60" s="205"/>
      <c r="L60" s="205"/>
      <c r="M60" s="205"/>
      <c r="N60" s="205"/>
      <c r="O60" s="205"/>
      <c r="P60" s="205"/>
    </row>
    <row r="61" spans="2:16">
      <c r="B61" s="107" t="s">
        <v>34</v>
      </c>
      <c r="C61" s="205" t="s">
        <v>62</v>
      </c>
      <c r="D61" s="205"/>
      <c r="E61" s="205"/>
      <c r="F61" s="205"/>
      <c r="G61" s="205"/>
      <c r="H61" s="205"/>
      <c r="I61" s="205"/>
      <c r="J61" s="205"/>
      <c r="K61" s="205"/>
      <c r="L61" s="205"/>
      <c r="M61" s="205"/>
      <c r="N61" s="205"/>
      <c r="O61" s="205"/>
      <c r="P61" s="205"/>
    </row>
    <row r="62" spans="2:16">
      <c r="B62" s="107" t="s">
        <v>63</v>
      </c>
      <c r="C62" s="205" t="s">
        <v>64</v>
      </c>
      <c r="D62" s="205"/>
      <c r="E62" s="205"/>
      <c r="F62" s="205"/>
      <c r="G62" s="205"/>
      <c r="H62" s="205"/>
      <c r="I62" s="205"/>
      <c r="J62" s="205"/>
      <c r="K62" s="205"/>
      <c r="L62" s="205"/>
      <c r="M62" s="205"/>
      <c r="N62" s="205"/>
      <c r="O62" s="205"/>
      <c r="P62" s="205"/>
    </row>
    <row r="63" spans="2:16">
      <c r="B63" s="107" t="s">
        <v>65</v>
      </c>
      <c r="C63" s="205" t="s">
        <v>66</v>
      </c>
      <c r="D63" s="205"/>
      <c r="E63" s="205"/>
      <c r="F63" s="205"/>
      <c r="G63" s="205"/>
      <c r="H63" s="205"/>
      <c r="I63" s="205"/>
      <c r="J63" s="205"/>
      <c r="K63" s="205"/>
      <c r="L63" s="205"/>
      <c r="M63" s="205"/>
      <c r="N63" s="205"/>
      <c r="O63" s="205"/>
      <c r="P63" s="205"/>
    </row>
    <row r="64" spans="2:16">
      <c r="B64" s="107" t="s">
        <v>67</v>
      </c>
      <c r="C64" s="205" t="s">
        <v>68</v>
      </c>
      <c r="D64" s="205"/>
      <c r="E64" s="205"/>
      <c r="F64" s="205"/>
      <c r="G64" s="205"/>
      <c r="H64" s="205"/>
      <c r="I64" s="205"/>
      <c r="J64" s="205"/>
      <c r="K64" s="205"/>
      <c r="L64" s="205"/>
      <c r="M64" s="205"/>
      <c r="N64" s="205"/>
      <c r="O64" s="205"/>
      <c r="P64" s="205"/>
    </row>
    <row r="65" spans="2:16">
      <c r="B65" s="107" t="s">
        <v>69</v>
      </c>
      <c r="C65" s="205" t="s">
        <v>70</v>
      </c>
      <c r="D65" s="205"/>
      <c r="E65" s="205"/>
      <c r="F65" s="205"/>
      <c r="G65" s="205"/>
      <c r="H65" s="205"/>
      <c r="I65" s="205"/>
      <c r="J65" s="205"/>
      <c r="K65" s="205"/>
      <c r="L65" s="205"/>
      <c r="M65" s="205"/>
      <c r="N65" s="205"/>
      <c r="O65" s="205"/>
      <c r="P65" s="205"/>
    </row>
    <row r="66" spans="2:16">
      <c r="B66" s="107" t="s">
        <v>71</v>
      </c>
      <c r="C66" s="205" t="s">
        <v>72</v>
      </c>
      <c r="D66" s="205"/>
      <c r="E66" s="205"/>
      <c r="F66" s="205"/>
      <c r="G66" s="205"/>
      <c r="H66" s="205"/>
      <c r="I66" s="205"/>
      <c r="J66" s="205"/>
      <c r="K66" s="205"/>
      <c r="L66" s="205"/>
      <c r="M66" s="205"/>
      <c r="N66" s="205"/>
      <c r="O66" s="205"/>
      <c r="P66" s="205"/>
    </row>
    <row r="67" spans="2:16">
      <c r="B67" s="107" t="s">
        <v>73</v>
      </c>
      <c r="C67" s="205" t="s">
        <v>74</v>
      </c>
      <c r="D67" s="205"/>
      <c r="E67" s="205"/>
      <c r="F67" s="205"/>
      <c r="G67" s="205"/>
      <c r="H67" s="205"/>
      <c r="I67" s="205"/>
      <c r="J67" s="205"/>
      <c r="K67" s="205"/>
      <c r="L67" s="205"/>
      <c r="M67" s="205"/>
      <c r="N67" s="205"/>
      <c r="O67" s="205"/>
      <c r="P67" s="205"/>
    </row>
    <row r="68" spans="2:16">
      <c r="B68" s="107" t="s">
        <v>75</v>
      </c>
      <c r="C68" s="205" t="s">
        <v>76</v>
      </c>
      <c r="D68" s="205"/>
      <c r="E68" s="205"/>
      <c r="F68" s="205"/>
      <c r="G68" s="205"/>
      <c r="H68" s="205"/>
      <c r="I68" s="205"/>
      <c r="J68" s="205"/>
      <c r="K68" s="205"/>
      <c r="L68" s="205"/>
      <c r="M68" s="205"/>
      <c r="N68" s="205"/>
      <c r="O68" s="205"/>
      <c r="P68" s="205"/>
    </row>
    <row r="69" spans="2:16">
      <c r="B69" s="107" t="s">
        <v>77</v>
      </c>
      <c r="C69" s="205" t="s">
        <v>78</v>
      </c>
      <c r="D69" s="205"/>
      <c r="E69" s="205"/>
      <c r="F69" s="205"/>
      <c r="G69" s="205"/>
      <c r="H69" s="205"/>
      <c r="I69" s="205"/>
      <c r="J69" s="205"/>
      <c r="K69" s="205"/>
      <c r="L69" s="205"/>
      <c r="M69" s="205"/>
      <c r="N69" s="205"/>
      <c r="O69" s="205"/>
      <c r="P69" s="205"/>
    </row>
    <row r="70" spans="2:16">
      <c r="B70" s="107" t="s">
        <v>79</v>
      </c>
      <c r="C70" s="205" t="s">
        <v>80</v>
      </c>
      <c r="D70" s="205"/>
      <c r="E70" s="205"/>
      <c r="F70" s="205"/>
      <c r="G70" s="205"/>
      <c r="H70" s="205"/>
      <c r="I70" s="205"/>
      <c r="J70" s="205"/>
      <c r="K70" s="205"/>
      <c r="L70" s="205"/>
      <c r="M70" s="205"/>
      <c r="N70" s="205"/>
      <c r="O70" s="205"/>
      <c r="P70" s="205"/>
    </row>
    <row r="71" spans="2:16">
      <c r="B71" s="107" t="s">
        <v>81</v>
      </c>
      <c r="C71" s="205" t="s">
        <v>82</v>
      </c>
      <c r="D71" s="205"/>
      <c r="E71" s="205"/>
      <c r="F71" s="205"/>
      <c r="G71" s="205"/>
      <c r="H71" s="205"/>
      <c r="I71" s="205"/>
      <c r="J71" s="205"/>
      <c r="K71" s="205"/>
      <c r="L71" s="205"/>
      <c r="M71" s="205"/>
      <c r="N71" s="205"/>
      <c r="O71" s="205"/>
      <c r="P71" s="205"/>
    </row>
    <row r="72" spans="2:16">
      <c r="B72" s="107" t="s">
        <v>83</v>
      </c>
      <c r="C72" s="205" t="s">
        <v>84</v>
      </c>
      <c r="D72" s="205"/>
      <c r="E72" s="205"/>
      <c r="F72" s="205"/>
      <c r="G72" s="205"/>
      <c r="H72" s="205"/>
      <c r="I72" s="205"/>
      <c r="J72" s="205"/>
      <c r="K72" s="205"/>
      <c r="L72" s="205"/>
      <c r="M72" s="205"/>
      <c r="N72" s="205"/>
      <c r="O72" s="205"/>
      <c r="P72" s="205"/>
    </row>
    <row r="73" spans="2:16">
      <c r="B73" s="107" t="s">
        <v>85</v>
      </c>
      <c r="C73" s="205" t="s">
        <v>86</v>
      </c>
      <c r="D73" s="205"/>
      <c r="E73" s="205"/>
      <c r="F73" s="205"/>
      <c r="G73" s="205"/>
      <c r="H73" s="205"/>
      <c r="I73" s="205"/>
      <c r="J73" s="205"/>
      <c r="K73" s="205"/>
      <c r="L73" s="205"/>
      <c r="M73" s="205"/>
      <c r="N73" s="205"/>
      <c r="O73" s="205"/>
      <c r="P73" s="205"/>
    </row>
    <row r="74" spans="2:16">
      <c r="B74" s="107" t="s">
        <v>87</v>
      </c>
      <c r="C74" s="205" t="s">
        <v>88</v>
      </c>
      <c r="D74" s="205"/>
      <c r="E74" s="205"/>
      <c r="F74" s="205"/>
      <c r="G74" s="205"/>
      <c r="H74" s="205"/>
      <c r="I74" s="205"/>
      <c r="J74" s="205"/>
      <c r="K74" s="205"/>
      <c r="L74" s="205"/>
      <c r="M74" s="205"/>
      <c r="N74" s="205"/>
      <c r="O74" s="205"/>
      <c r="P74" s="205"/>
    </row>
    <row r="75" spans="2:16">
      <c r="B75" s="107" t="s">
        <v>89</v>
      </c>
      <c r="C75" s="205" t="s">
        <v>90</v>
      </c>
      <c r="D75" s="205"/>
      <c r="E75" s="205"/>
      <c r="F75" s="205"/>
      <c r="G75" s="205"/>
      <c r="H75" s="205"/>
      <c r="I75" s="205"/>
      <c r="J75" s="205"/>
      <c r="K75" s="205"/>
      <c r="L75" s="205"/>
      <c r="M75" s="205"/>
      <c r="N75" s="205"/>
      <c r="O75" s="205"/>
      <c r="P75" s="205"/>
    </row>
    <row r="76" spans="2:16">
      <c r="B76" s="107" t="s">
        <v>91</v>
      </c>
      <c r="C76" s="205" t="s">
        <v>92</v>
      </c>
      <c r="D76" s="205"/>
      <c r="E76" s="205"/>
      <c r="F76" s="205"/>
      <c r="G76" s="205"/>
      <c r="H76" s="205"/>
      <c r="I76" s="205"/>
      <c r="J76" s="205"/>
      <c r="K76" s="205"/>
      <c r="L76" s="205"/>
      <c r="M76" s="205"/>
      <c r="N76" s="205"/>
      <c r="O76" s="205"/>
      <c r="P76" s="205"/>
    </row>
    <row r="77" spans="2:16">
      <c r="B77" s="107" t="s">
        <v>93</v>
      </c>
      <c r="C77" s="205" t="s">
        <v>94</v>
      </c>
      <c r="D77" s="205"/>
      <c r="E77" s="205"/>
      <c r="F77" s="205"/>
      <c r="G77" s="205"/>
      <c r="H77" s="205"/>
      <c r="I77" s="205"/>
      <c r="J77" s="205"/>
      <c r="K77" s="205"/>
      <c r="L77" s="205"/>
      <c r="M77" s="205"/>
      <c r="N77" s="205"/>
      <c r="O77" s="205"/>
      <c r="P77" s="205"/>
    </row>
    <row r="78" spans="2:16">
      <c r="B78" s="107" t="s">
        <v>95</v>
      </c>
      <c r="C78" s="205" t="s">
        <v>96</v>
      </c>
      <c r="D78" s="205"/>
      <c r="E78" s="205"/>
      <c r="F78" s="205"/>
      <c r="G78" s="205"/>
      <c r="H78" s="205"/>
      <c r="I78" s="205"/>
      <c r="J78" s="205"/>
      <c r="K78" s="205"/>
      <c r="L78" s="205"/>
      <c r="M78" s="205"/>
      <c r="N78" s="205"/>
      <c r="O78" s="205"/>
      <c r="P78" s="205"/>
    </row>
    <row r="79" spans="2:16">
      <c r="B79" s="107" t="s">
        <v>97</v>
      </c>
      <c r="C79" s="205" t="s">
        <v>98</v>
      </c>
      <c r="D79" s="205"/>
      <c r="E79" s="205"/>
      <c r="F79" s="205"/>
      <c r="G79" s="205"/>
      <c r="H79" s="205"/>
      <c r="I79" s="205"/>
      <c r="J79" s="205"/>
      <c r="K79" s="205"/>
      <c r="L79" s="205"/>
      <c r="M79" s="205"/>
      <c r="N79" s="205"/>
      <c r="O79" s="205"/>
      <c r="P79" s="205"/>
    </row>
    <row r="80" spans="2:16">
      <c r="B80" s="107" t="s">
        <v>99</v>
      </c>
      <c r="C80" s="205" t="s">
        <v>100</v>
      </c>
      <c r="D80" s="205"/>
      <c r="E80" s="205"/>
      <c r="F80" s="205"/>
      <c r="G80" s="205"/>
      <c r="H80" s="205"/>
      <c r="I80" s="205"/>
      <c r="J80" s="205"/>
      <c r="K80" s="205"/>
      <c r="L80" s="205"/>
      <c r="M80" s="205"/>
      <c r="N80" s="205"/>
      <c r="O80" s="205"/>
      <c r="P80" s="205"/>
    </row>
    <row r="81" spans="2:16">
      <c r="B81" s="107" t="s">
        <v>101</v>
      </c>
      <c r="C81" s="205" t="s">
        <v>102</v>
      </c>
      <c r="D81" s="205"/>
      <c r="E81" s="205"/>
      <c r="F81" s="205"/>
      <c r="G81" s="205"/>
      <c r="H81" s="205"/>
      <c r="I81" s="205"/>
      <c r="J81" s="205"/>
      <c r="K81" s="205"/>
      <c r="L81" s="205"/>
      <c r="M81" s="205"/>
      <c r="N81" s="205"/>
      <c r="O81" s="205"/>
      <c r="P81" s="205"/>
    </row>
    <row r="82" spans="2:16">
      <c r="B82" s="107" t="s">
        <v>103</v>
      </c>
      <c r="C82" s="205" t="s">
        <v>104</v>
      </c>
      <c r="D82" s="205"/>
      <c r="E82" s="205"/>
      <c r="F82" s="205"/>
      <c r="G82" s="205"/>
      <c r="H82" s="205"/>
      <c r="I82" s="205"/>
      <c r="J82" s="205"/>
      <c r="K82" s="205"/>
      <c r="L82" s="205"/>
      <c r="M82" s="205"/>
      <c r="N82" s="205"/>
      <c r="O82" s="205"/>
      <c r="P82" s="205"/>
    </row>
    <row r="83" spans="2:16">
      <c r="B83" s="107" t="s">
        <v>105</v>
      </c>
      <c r="C83" s="205" t="s">
        <v>106</v>
      </c>
      <c r="D83" s="205"/>
      <c r="E83" s="205"/>
      <c r="F83" s="205"/>
      <c r="G83" s="205"/>
      <c r="H83" s="205"/>
      <c r="I83" s="205"/>
      <c r="J83" s="205"/>
      <c r="K83" s="205"/>
      <c r="L83" s="205"/>
      <c r="M83" s="205"/>
      <c r="N83" s="205"/>
      <c r="O83" s="205"/>
      <c r="P83" s="205"/>
    </row>
    <row r="84" spans="2:16">
      <c r="B84" s="107" t="s">
        <v>107</v>
      </c>
      <c r="C84" s="205" t="s">
        <v>108</v>
      </c>
      <c r="D84" s="205"/>
      <c r="E84" s="205"/>
      <c r="F84" s="205"/>
      <c r="G84" s="205"/>
      <c r="H84" s="205"/>
      <c r="I84" s="205"/>
      <c r="J84" s="205"/>
      <c r="K84" s="205"/>
      <c r="L84" s="205"/>
      <c r="M84" s="205"/>
      <c r="N84" s="205"/>
      <c r="O84" s="205"/>
      <c r="P84" s="205"/>
    </row>
    <row r="85" spans="2:16">
      <c r="B85" s="107" t="s">
        <v>109</v>
      </c>
      <c r="C85" s="205" t="s">
        <v>110</v>
      </c>
      <c r="D85" s="205"/>
      <c r="E85" s="205"/>
      <c r="F85" s="205"/>
      <c r="G85" s="205"/>
      <c r="H85" s="205"/>
      <c r="I85" s="205"/>
      <c r="J85" s="205"/>
      <c r="K85" s="205"/>
      <c r="L85" s="205"/>
      <c r="M85" s="205"/>
      <c r="N85" s="205"/>
      <c r="O85" s="205"/>
      <c r="P85" s="205"/>
    </row>
    <row r="86" spans="2:16">
      <c r="B86" s="107" t="s">
        <v>111</v>
      </c>
      <c r="C86" s="205" t="s">
        <v>112</v>
      </c>
      <c r="D86" s="205"/>
      <c r="E86" s="205"/>
      <c r="F86" s="205"/>
      <c r="G86" s="205"/>
      <c r="H86" s="205"/>
      <c r="I86" s="205"/>
      <c r="J86" s="205"/>
      <c r="K86" s="205"/>
      <c r="L86" s="205"/>
      <c r="M86" s="205"/>
      <c r="N86" s="205"/>
      <c r="O86" s="205"/>
      <c r="P86" s="205"/>
    </row>
    <row r="87" spans="2:16">
      <c r="B87" s="107" t="s">
        <v>113</v>
      </c>
      <c r="C87" s="205" t="s">
        <v>114</v>
      </c>
      <c r="D87" s="205"/>
      <c r="E87" s="205"/>
      <c r="F87" s="205"/>
      <c r="G87" s="205"/>
      <c r="H87" s="205"/>
      <c r="I87" s="205"/>
      <c r="J87" s="205"/>
      <c r="K87" s="205"/>
      <c r="L87" s="205"/>
      <c r="M87" s="205"/>
      <c r="N87" s="205"/>
      <c r="O87" s="205"/>
      <c r="P87" s="205"/>
    </row>
    <row r="88" spans="2:16">
      <c r="B88" s="107" t="s">
        <v>115</v>
      </c>
      <c r="C88" s="205" t="s">
        <v>116</v>
      </c>
      <c r="D88" s="205"/>
      <c r="E88" s="205"/>
      <c r="F88" s="205"/>
      <c r="G88" s="205"/>
      <c r="H88" s="205"/>
      <c r="I88" s="205"/>
      <c r="J88" s="205"/>
      <c r="K88" s="205"/>
      <c r="L88" s="205"/>
      <c r="M88" s="205"/>
      <c r="N88" s="205"/>
      <c r="O88" s="205"/>
      <c r="P88" s="205"/>
    </row>
    <row r="89" spans="2:16">
      <c r="C89" s="195"/>
    </row>
    <row r="90" spans="2:16">
      <c r="C90" s="195"/>
    </row>
    <row r="91" spans="2:16">
      <c r="B91" s="144" t="s">
        <v>117</v>
      </c>
      <c r="C91" s="195"/>
    </row>
    <row r="92" spans="2:16">
      <c r="B92" s="107" t="s">
        <v>22</v>
      </c>
      <c r="C92" s="205" t="s">
        <v>118</v>
      </c>
      <c r="D92" s="205"/>
      <c r="E92" s="205"/>
      <c r="F92" s="205"/>
      <c r="G92" s="205"/>
      <c r="H92" s="205"/>
      <c r="I92" s="205"/>
      <c r="J92" s="205"/>
      <c r="K92" s="205"/>
      <c r="L92" s="205"/>
      <c r="M92" s="205"/>
      <c r="N92" s="205"/>
      <c r="O92" s="205"/>
      <c r="P92" s="205"/>
    </row>
    <row r="93" spans="2:16">
      <c r="B93" s="107" t="s">
        <v>26</v>
      </c>
      <c r="C93" s="205" t="s">
        <v>119</v>
      </c>
      <c r="D93" s="205"/>
      <c r="E93" s="205"/>
      <c r="F93" s="205"/>
      <c r="G93" s="205"/>
      <c r="H93" s="205"/>
      <c r="I93" s="205"/>
      <c r="J93" s="205"/>
      <c r="K93" s="205"/>
      <c r="L93" s="205"/>
      <c r="M93" s="205"/>
      <c r="N93" s="205"/>
      <c r="O93" s="205"/>
      <c r="P93" s="205"/>
    </row>
    <row r="94" spans="2:16">
      <c r="B94" s="107" t="s">
        <v>28</v>
      </c>
      <c r="C94" s="205" t="s">
        <v>120</v>
      </c>
      <c r="D94" s="205"/>
      <c r="E94" s="205"/>
      <c r="F94" s="205"/>
      <c r="G94" s="205"/>
      <c r="H94" s="205"/>
      <c r="I94" s="205"/>
      <c r="J94" s="205"/>
      <c r="K94" s="205"/>
      <c r="L94" s="205"/>
      <c r="M94" s="205"/>
      <c r="N94" s="205"/>
      <c r="O94" s="205"/>
      <c r="P94" s="205"/>
    </row>
    <row r="95" spans="2:16">
      <c r="B95" s="107" t="s">
        <v>30</v>
      </c>
      <c r="C95" s="205" t="s">
        <v>121</v>
      </c>
      <c r="D95" s="205"/>
      <c r="E95" s="205"/>
      <c r="F95" s="205"/>
      <c r="G95" s="205"/>
      <c r="H95" s="205"/>
      <c r="I95" s="205"/>
      <c r="J95" s="205"/>
      <c r="K95" s="205"/>
      <c r="L95" s="205"/>
      <c r="M95" s="205"/>
      <c r="N95" s="205"/>
      <c r="O95" s="205"/>
      <c r="P95" s="205"/>
    </row>
    <row r="96" spans="2:16">
      <c r="B96" s="107" t="s">
        <v>32</v>
      </c>
      <c r="C96" s="205" t="s">
        <v>33</v>
      </c>
      <c r="D96" s="205"/>
      <c r="E96" s="205"/>
      <c r="F96" s="205"/>
      <c r="G96" s="205"/>
      <c r="H96" s="205"/>
      <c r="I96" s="205"/>
      <c r="J96" s="205"/>
      <c r="K96" s="205"/>
      <c r="L96" s="205"/>
      <c r="M96" s="205"/>
      <c r="N96" s="205"/>
      <c r="O96" s="205"/>
      <c r="P96" s="205"/>
    </row>
    <row r="97" spans="2:16">
      <c r="B97" s="107" t="s">
        <v>34</v>
      </c>
      <c r="C97" s="205" t="s">
        <v>35</v>
      </c>
      <c r="D97" s="205"/>
      <c r="E97" s="205"/>
      <c r="F97" s="205"/>
      <c r="G97" s="205"/>
      <c r="H97" s="205"/>
      <c r="I97" s="205"/>
      <c r="J97" s="205"/>
      <c r="K97" s="205"/>
      <c r="L97" s="205"/>
      <c r="M97" s="205"/>
      <c r="N97" s="205"/>
      <c r="O97" s="205"/>
      <c r="P97" s="205"/>
    </row>
    <row r="98" spans="2:16">
      <c r="B98" s="107" t="s">
        <v>36</v>
      </c>
      <c r="C98" s="205" t="s">
        <v>37</v>
      </c>
      <c r="D98" s="205"/>
      <c r="E98" s="205"/>
      <c r="F98" s="205"/>
      <c r="G98" s="205"/>
      <c r="H98" s="205"/>
      <c r="I98" s="205"/>
      <c r="J98" s="205"/>
      <c r="K98" s="205"/>
      <c r="L98" s="205"/>
      <c r="M98" s="205"/>
      <c r="N98" s="205"/>
      <c r="O98" s="205"/>
      <c r="P98" s="205"/>
    </row>
    <row r="99" spans="2:16">
      <c r="B99" s="107" t="s">
        <v>38</v>
      </c>
      <c r="C99" s="205" t="s">
        <v>122</v>
      </c>
      <c r="D99" s="205"/>
      <c r="E99" s="205"/>
      <c r="F99" s="205"/>
      <c r="G99" s="205"/>
      <c r="H99" s="205"/>
      <c r="I99" s="205"/>
      <c r="J99" s="205"/>
      <c r="K99" s="205"/>
      <c r="L99" s="205"/>
      <c r="M99" s="205"/>
      <c r="N99" s="205"/>
      <c r="O99" s="205"/>
      <c r="P99" s="205"/>
    </row>
    <row r="100" spans="2:16">
      <c r="B100" s="107" t="s">
        <v>40</v>
      </c>
      <c r="C100" s="205" t="s">
        <v>123</v>
      </c>
      <c r="D100" s="205"/>
      <c r="E100" s="205"/>
      <c r="F100" s="205"/>
      <c r="G100" s="205"/>
      <c r="H100" s="205"/>
      <c r="I100" s="205"/>
      <c r="J100" s="205"/>
      <c r="K100" s="205"/>
      <c r="L100" s="205"/>
      <c r="M100" s="205"/>
      <c r="N100" s="205"/>
      <c r="O100" s="205"/>
      <c r="P100" s="205"/>
    </row>
    <row r="101" spans="2:16">
      <c r="B101" s="107" t="s">
        <v>42</v>
      </c>
      <c r="C101" s="205" t="s">
        <v>124</v>
      </c>
      <c r="D101" s="205"/>
      <c r="E101" s="205"/>
      <c r="F101" s="205"/>
      <c r="G101" s="205"/>
      <c r="H101" s="205"/>
      <c r="I101" s="205"/>
      <c r="J101" s="205"/>
      <c r="K101" s="205"/>
      <c r="L101" s="205"/>
      <c r="M101" s="205"/>
      <c r="N101" s="205"/>
      <c r="O101" s="205"/>
      <c r="P101" s="205"/>
    </row>
    <row r="102" spans="2:16">
      <c r="B102" s="107" t="s">
        <v>44</v>
      </c>
      <c r="C102" s="205" t="s">
        <v>125</v>
      </c>
      <c r="D102" s="205"/>
      <c r="E102" s="205"/>
      <c r="F102" s="205"/>
      <c r="G102" s="205"/>
      <c r="H102" s="205"/>
      <c r="I102" s="205"/>
      <c r="J102" s="205"/>
      <c r="K102" s="205"/>
      <c r="L102" s="205"/>
      <c r="M102" s="205"/>
      <c r="N102" s="205"/>
      <c r="O102" s="205"/>
      <c r="P102" s="205"/>
    </row>
    <row r="103" spans="2:16">
      <c r="B103" s="107" t="s">
        <v>46</v>
      </c>
      <c r="C103" s="205" t="s">
        <v>126</v>
      </c>
      <c r="D103" s="205"/>
      <c r="E103" s="205"/>
      <c r="F103" s="205"/>
      <c r="G103" s="205"/>
      <c r="H103" s="205"/>
      <c r="I103" s="205"/>
      <c r="J103" s="205"/>
      <c r="K103" s="205"/>
      <c r="L103" s="205"/>
      <c r="M103" s="205"/>
      <c r="N103" s="205"/>
      <c r="O103" s="205"/>
      <c r="P103" s="205"/>
    </row>
    <row r="104" spans="2:16">
      <c r="B104" s="107" t="s">
        <v>127</v>
      </c>
      <c r="C104" s="205" t="s">
        <v>128</v>
      </c>
      <c r="D104" s="205"/>
      <c r="E104" s="205"/>
      <c r="F104" s="205"/>
      <c r="G104" s="205"/>
      <c r="H104" s="205"/>
      <c r="I104" s="205"/>
      <c r="J104" s="205"/>
      <c r="K104" s="205"/>
      <c r="L104" s="205"/>
      <c r="M104" s="205"/>
      <c r="N104" s="205"/>
      <c r="O104" s="205"/>
      <c r="P104" s="205"/>
    </row>
    <row r="105" spans="2:16">
      <c r="B105" s="107" t="s">
        <v>129</v>
      </c>
      <c r="C105" s="205" t="s">
        <v>130</v>
      </c>
      <c r="D105" s="205"/>
      <c r="E105" s="205"/>
      <c r="F105" s="205"/>
      <c r="G105" s="205"/>
      <c r="H105" s="205"/>
      <c r="I105" s="205"/>
      <c r="J105" s="205"/>
      <c r="K105" s="205"/>
      <c r="L105" s="205"/>
      <c r="M105" s="205"/>
      <c r="N105" s="205"/>
      <c r="O105" s="205"/>
      <c r="P105" s="205"/>
    </row>
    <row r="106" spans="2:16">
      <c r="B106" s="107" t="s">
        <v>131</v>
      </c>
      <c r="C106" s="205" t="s">
        <v>132</v>
      </c>
      <c r="D106" s="205"/>
      <c r="E106" s="205"/>
      <c r="F106" s="205"/>
      <c r="G106" s="205"/>
      <c r="H106" s="205"/>
      <c r="I106" s="205"/>
      <c r="J106" s="205"/>
      <c r="K106" s="205"/>
      <c r="L106" s="205"/>
      <c r="M106" s="205"/>
      <c r="N106" s="205"/>
      <c r="O106" s="205"/>
      <c r="P106" s="205"/>
    </row>
    <row r="107" spans="2:16">
      <c r="B107" s="107" t="s">
        <v>54</v>
      </c>
      <c r="C107" s="205" t="s">
        <v>133</v>
      </c>
      <c r="D107" s="205"/>
      <c r="E107" s="205"/>
      <c r="F107" s="205"/>
      <c r="G107" s="205"/>
      <c r="H107" s="205"/>
      <c r="I107" s="205"/>
      <c r="J107" s="205"/>
      <c r="K107" s="205"/>
      <c r="L107" s="205"/>
      <c r="M107" s="205"/>
      <c r="N107" s="205"/>
      <c r="O107" s="205"/>
      <c r="P107" s="205"/>
    </row>
    <row r="108" spans="2:16">
      <c r="B108" s="107" t="s">
        <v>134</v>
      </c>
      <c r="C108" s="205" t="s">
        <v>135</v>
      </c>
      <c r="D108" s="205"/>
      <c r="E108" s="205"/>
      <c r="F108" s="205"/>
      <c r="G108" s="205"/>
      <c r="H108" s="205"/>
      <c r="I108" s="205"/>
      <c r="J108" s="205"/>
      <c r="K108" s="205"/>
      <c r="L108" s="205"/>
      <c r="M108" s="205"/>
      <c r="N108" s="205"/>
      <c r="O108" s="205"/>
      <c r="P108" s="205"/>
    </row>
    <row r="109" spans="2:16">
      <c r="B109" s="107" t="s">
        <v>136</v>
      </c>
      <c r="C109" s="205" t="s">
        <v>137</v>
      </c>
      <c r="D109" s="205"/>
      <c r="E109" s="205"/>
      <c r="F109" s="205"/>
      <c r="G109" s="205"/>
      <c r="H109" s="205"/>
      <c r="I109" s="205"/>
      <c r="J109" s="205"/>
      <c r="K109" s="205"/>
      <c r="L109" s="205"/>
      <c r="M109" s="205"/>
      <c r="N109" s="205"/>
      <c r="O109" s="205"/>
      <c r="P109" s="205"/>
    </row>
    <row r="110" spans="2:16">
      <c r="B110" s="107" t="s">
        <v>63</v>
      </c>
      <c r="C110" s="205" t="s">
        <v>138</v>
      </c>
      <c r="D110" s="205"/>
      <c r="E110" s="205"/>
      <c r="F110" s="205"/>
      <c r="G110" s="205"/>
      <c r="H110" s="205"/>
      <c r="I110" s="205"/>
      <c r="J110" s="205"/>
      <c r="K110" s="205"/>
      <c r="L110" s="205"/>
      <c r="M110" s="205"/>
      <c r="N110" s="205"/>
      <c r="O110" s="205"/>
      <c r="P110" s="205"/>
    </row>
    <row r="111" spans="2:16">
      <c r="B111" s="107" t="s">
        <v>65</v>
      </c>
      <c r="C111" s="205" t="s">
        <v>139</v>
      </c>
      <c r="D111" s="205"/>
      <c r="E111" s="205"/>
      <c r="F111" s="205"/>
      <c r="G111" s="205"/>
      <c r="H111" s="205"/>
      <c r="I111" s="205"/>
      <c r="J111" s="205"/>
      <c r="K111" s="205"/>
      <c r="L111" s="205"/>
      <c r="M111" s="205"/>
      <c r="N111" s="205"/>
      <c r="O111" s="205"/>
      <c r="P111" s="205"/>
    </row>
    <row r="112" spans="2:16">
      <c r="B112" s="172" t="s">
        <v>67</v>
      </c>
      <c r="C112" s="205" t="s">
        <v>140</v>
      </c>
      <c r="D112" s="205"/>
      <c r="E112" s="205"/>
      <c r="F112" s="205"/>
      <c r="G112" s="205"/>
      <c r="H112" s="205"/>
      <c r="I112" s="205"/>
      <c r="J112" s="205"/>
      <c r="K112" s="205"/>
      <c r="L112" s="205"/>
      <c r="M112" s="205"/>
      <c r="N112" s="205"/>
      <c r="O112" s="205"/>
      <c r="P112" s="205"/>
    </row>
    <row r="113" spans="2:16">
      <c r="B113" s="107" t="s">
        <v>69</v>
      </c>
      <c r="C113" s="205" t="s">
        <v>141</v>
      </c>
      <c r="D113" s="205"/>
      <c r="E113" s="205"/>
      <c r="F113" s="205"/>
      <c r="G113" s="205"/>
      <c r="H113" s="205"/>
      <c r="I113" s="205"/>
      <c r="J113" s="205"/>
      <c r="K113" s="205"/>
      <c r="L113" s="205"/>
      <c r="M113" s="205"/>
      <c r="N113" s="205"/>
      <c r="O113" s="205"/>
      <c r="P113" s="205"/>
    </row>
    <row r="114" spans="2:16">
      <c r="B114" s="107" t="s">
        <v>71</v>
      </c>
      <c r="C114" s="205" t="s">
        <v>142</v>
      </c>
      <c r="D114" s="205"/>
      <c r="E114" s="205"/>
      <c r="F114" s="205"/>
      <c r="G114" s="205"/>
      <c r="H114" s="205"/>
      <c r="I114" s="205"/>
      <c r="J114" s="205"/>
      <c r="K114" s="205"/>
      <c r="L114" s="205"/>
      <c r="M114" s="205"/>
      <c r="N114" s="205"/>
      <c r="O114" s="205"/>
      <c r="P114" s="205"/>
    </row>
    <row r="115" spans="2:16">
      <c r="B115" s="107" t="s">
        <v>73</v>
      </c>
      <c r="C115" s="205" t="s">
        <v>143</v>
      </c>
      <c r="D115" s="205"/>
      <c r="E115" s="205"/>
      <c r="F115" s="205"/>
      <c r="G115" s="205"/>
      <c r="H115" s="205"/>
      <c r="I115" s="205"/>
      <c r="J115" s="205"/>
      <c r="K115" s="205"/>
      <c r="L115" s="205"/>
      <c r="M115" s="205"/>
      <c r="N115" s="205"/>
      <c r="O115" s="205"/>
      <c r="P115" s="205"/>
    </row>
    <row r="116" spans="2:16">
      <c r="B116" s="107" t="s">
        <v>75</v>
      </c>
      <c r="C116" s="205" t="s">
        <v>144</v>
      </c>
      <c r="D116" s="205"/>
      <c r="E116" s="205"/>
      <c r="F116" s="205"/>
      <c r="G116" s="205"/>
      <c r="H116" s="205"/>
      <c r="I116" s="205"/>
      <c r="J116" s="205"/>
      <c r="K116" s="205"/>
      <c r="L116" s="205"/>
      <c r="M116" s="205"/>
      <c r="N116" s="205"/>
      <c r="O116" s="205"/>
      <c r="P116" s="205"/>
    </row>
    <row r="117" spans="2:16">
      <c r="B117" s="107" t="s">
        <v>83</v>
      </c>
      <c r="C117" s="205" t="s">
        <v>145</v>
      </c>
      <c r="D117" s="205"/>
      <c r="E117" s="205"/>
      <c r="F117" s="205"/>
      <c r="G117" s="205"/>
      <c r="H117" s="205"/>
      <c r="I117" s="205"/>
      <c r="J117" s="205"/>
      <c r="K117" s="205"/>
      <c r="L117" s="205"/>
      <c r="M117" s="205"/>
      <c r="N117" s="205"/>
      <c r="O117" s="205"/>
      <c r="P117" s="205"/>
    </row>
    <row r="118" spans="2:16">
      <c r="B118" s="107" t="s">
        <v>105</v>
      </c>
      <c r="C118" s="205" t="s">
        <v>106</v>
      </c>
      <c r="D118" s="205"/>
      <c r="E118" s="205"/>
      <c r="F118" s="205"/>
      <c r="G118" s="205"/>
      <c r="H118" s="205"/>
      <c r="I118" s="205"/>
      <c r="J118" s="205"/>
      <c r="K118" s="205"/>
      <c r="L118" s="205"/>
      <c r="M118" s="205"/>
      <c r="N118" s="205"/>
      <c r="O118" s="205"/>
      <c r="P118" s="205"/>
    </row>
    <row r="119" spans="2:16">
      <c r="B119" s="107" t="s">
        <v>107</v>
      </c>
      <c r="C119" s="205" t="s">
        <v>108</v>
      </c>
      <c r="D119" s="205"/>
      <c r="E119" s="205"/>
      <c r="F119" s="205"/>
      <c r="G119" s="205"/>
      <c r="H119" s="205"/>
      <c r="I119" s="205"/>
      <c r="J119" s="205"/>
      <c r="K119" s="205"/>
      <c r="L119" s="205"/>
      <c r="M119" s="205"/>
      <c r="N119" s="205"/>
      <c r="O119" s="205"/>
      <c r="P119" s="205"/>
    </row>
    <row r="120" spans="2:16">
      <c r="B120" s="107" t="s">
        <v>109</v>
      </c>
      <c r="C120" s="205" t="s">
        <v>110</v>
      </c>
      <c r="D120" s="205"/>
      <c r="E120" s="205"/>
      <c r="F120" s="205"/>
      <c r="G120" s="205"/>
      <c r="H120" s="205"/>
      <c r="I120" s="205"/>
      <c r="J120" s="205"/>
      <c r="K120" s="205"/>
      <c r="L120" s="205"/>
      <c r="M120" s="205"/>
      <c r="N120" s="205"/>
      <c r="O120" s="205"/>
      <c r="P120" s="205"/>
    </row>
    <row r="121" spans="2:16">
      <c r="B121" s="107" t="s">
        <v>111</v>
      </c>
      <c r="C121" s="205" t="s">
        <v>146</v>
      </c>
      <c r="D121" s="205"/>
      <c r="E121" s="205"/>
      <c r="F121" s="205"/>
      <c r="G121" s="205"/>
      <c r="H121" s="205"/>
      <c r="I121" s="205"/>
      <c r="J121" s="205"/>
      <c r="K121" s="205"/>
      <c r="L121" s="205"/>
      <c r="M121" s="205"/>
      <c r="N121" s="205"/>
      <c r="O121" s="205"/>
      <c r="P121" s="205"/>
    </row>
    <row r="122" spans="2:16">
      <c r="B122" s="107" t="s">
        <v>113</v>
      </c>
      <c r="C122" s="205" t="s">
        <v>147</v>
      </c>
      <c r="D122" s="205"/>
      <c r="E122" s="205"/>
      <c r="F122" s="205"/>
      <c r="G122" s="205"/>
      <c r="H122" s="205"/>
      <c r="I122" s="205"/>
      <c r="J122" s="205"/>
      <c r="K122" s="205"/>
      <c r="L122" s="205"/>
      <c r="M122" s="205"/>
      <c r="N122" s="205"/>
      <c r="O122" s="205"/>
      <c r="P122" s="205"/>
    </row>
    <row r="123" spans="2:16">
      <c r="B123" s="107" t="s">
        <v>115</v>
      </c>
      <c r="C123" s="205" t="s">
        <v>148</v>
      </c>
      <c r="D123" s="205"/>
      <c r="E123" s="205"/>
      <c r="F123" s="205"/>
      <c r="G123" s="205"/>
      <c r="H123" s="205"/>
      <c r="I123" s="205"/>
      <c r="J123" s="205"/>
      <c r="K123" s="205"/>
      <c r="L123" s="205"/>
      <c r="M123" s="205"/>
      <c r="N123" s="205"/>
      <c r="O123" s="205"/>
      <c r="P123" s="205"/>
    </row>
    <row r="124" spans="2:16">
      <c r="B124" s="107" t="s">
        <v>149</v>
      </c>
      <c r="C124" s="205" t="s">
        <v>150</v>
      </c>
      <c r="D124" s="205"/>
      <c r="E124" s="205"/>
      <c r="F124" s="205"/>
      <c r="G124" s="205"/>
      <c r="H124" s="205"/>
      <c r="I124" s="205"/>
      <c r="J124" s="205"/>
      <c r="K124" s="205"/>
      <c r="L124" s="205"/>
      <c r="M124" s="205"/>
      <c r="N124" s="205"/>
      <c r="O124" s="205"/>
      <c r="P124" s="205"/>
    </row>
    <row r="125" spans="2:16">
      <c r="B125" s="107" t="s">
        <v>151</v>
      </c>
      <c r="C125" s="205" t="s">
        <v>152</v>
      </c>
      <c r="D125" s="205"/>
      <c r="E125" s="205"/>
      <c r="F125" s="205"/>
      <c r="G125" s="205"/>
      <c r="H125" s="205"/>
      <c r="I125" s="205"/>
      <c r="J125" s="205"/>
      <c r="K125" s="205"/>
      <c r="L125" s="205"/>
      <c r="M125" s="205"/>
      <c r="N125" s="205"/>
      <c r="O125" s="205"/>
      <c r="P125" s="205"/>
    </row>
    <row r="126" spans="2:16">
      <c r="B126" s="107" t="s">
        <v>153</v>
      </c>
      <c r="C126" s="205" t="s">
        <v>154</v>
      </c>
      <c r="D126" s="205"/>
      <c r="E126" s="205"/>
      <c r="F126" s="205"/>
      <c r="G126" s="205"/>
      <c r="H126" s="205"/>
      <c r="I126" s="205"/>
      <c r="J126" s="205"/>
      <c r="K126" s="205"/>
      <c r="L126" s="205"/>
      <c r="M126" s="205"/>
      <c r="N126" s="205"/>
      <c r="O126" s="205"/>
      <c r="P126" s="205"/>
    </row>
    <row r="127" spans="2:16">
      <c r="B127" s="107" t="s">
        <v>155</v>
      </c>
      <c r="C127" s="205" t="s">
        <v>156</v>
      </c>
      <c r="D127" s="205"/>
      <c r="E127" s="205"/>
      <c r="F127" s="205"/>
      <c r="G127" s="205"/>
      <c r="H127" s="205"/>
      <c r="I127" s="205"/>
      <c r="J127" s="205"/>
      <c r="K127" s="205"/>
      <c r="L127" s="205"/>
      <c r="M127" s="205"/>
      <c r="N127" s="205"/>
      <c r="O127" s="205"/>
      <c r="P127" s="205"/>
    </row>
    <row r="128" spans="2:16">
      <c r="B128" s="107" t="s">
        <v>157</v>
      </c>
      <c r="C128" s="205" t="s">
        <v>158</v>
      </c>
      <c r="D128" s="205"/>
      <c r="E128" s="205"/>
      <c r="F128" s="205"/>
      <c r="G128" s="205"/>
      <c r="H128" s="205"/>
      <c r="I128" s="205"/>
      <c r="J128" s="205"/>
      <c r="K128" s="205"/>
      <c r="L128" s="205"/>
      <c r="M128" s="205"/>
      <c r="N128" s="205"/>
      <c r="O128" s="205"/>
      <c r="P128" s="205"/>
    </row>
    <row r="129" spans="2:16">
      <c r="B129" s="107" t="s">
        <v>159</v>
      </c>
      <c r="C129" s="205" t="s">
        <v>160</v>
      </c>
      <c r="D129" s="205"/>
      <c r="E129" s="205"/>
      <c r="F129" s="205"/>
      <c r="G129" s="205"/>
      <c r="H129" s="205"/>
      <c r="I129" s="205"/>
      <c r="J129" s="205"/>
      <c r="K129" s="205"/>
      <c r="L129" s="205"/>
      <c r="M129" s="205"/>
      <c r="N129" s="205"/>
      <c r="O129" s="205"/>
      <c r="P129" s="205"/>
    </row>
    <row r="130" spans="2:16">
      <c r="B130" s="167"/>
    </row>
    <row r="131" spans="2:16">
      <c r="B131" s="167"/>
    </row>
    <row r="132" spans="2:16">
      <c r="B132" s="144"/>
    </row>
    <row r="133" spans="2:16">
      <c r="B133" s="107"/>
    </row>
    <row r="134" spans="2:16">
      <c r="B134" s="107"/>
    </row>
    <row r="135" spans="2:16">
      <c r="B135" s="107"/>
    </row>
    <row r="136" spans="2:16">
      <c r="B136" s="107"/>
    </row>
    <row r="137" spans="2:16">
      <c r="B137" s="107"/>
    </row>
    <row r="138" spans="2:16">
      <c r="B138" s="107"/>
    </row>
    <row r="139" spans="2:16">
      <c r="B139" s="107"/>
    </row>
    <row r="140" spans="2:16">
      <c r="B140" s="107"/>
    </row>
  </sheetData>
  <mergeCells count="91">
    <mergeCell ref="C129:P129"/>
    <mergeCell ref="C118:P118"/>
    <mergeCell ref="C119:P119"/>
    <mergeCell ref="C120:P120"/>
    <mergeCell ref="C56:P56"/>
    <mergeCell ref="C124:P124"/>
    <mergeCell ref="C125:P125"/>
    <mergeCell ref="C126:P126"/>
    <mergeCell ref="C127:P127"/>
    <mergeCell ref="C128:P128"/>
    <mergeCell ref="C117:P117"/>
    <mergeCell ref="C115:P115"/>
    <mergeCell ref="C121:P121"/>
    <mergeCell ref="C122:P122"/>
    <mergeCell ref="C123:P123"/>
    <mergeCell ref="C110:P110"/>
    <mergeCell ref="C111:P111"/>
    <mergeCell ref="C112:P112"/>
    <mergeCell ref="C113:P113"/>
    <mergeCell ref="C116:P116"/>
    <mergeCell ref="C114:P114"/>
    <mergeCell ref="C105:P105"/>
    <mergeCell ref="C106:P106"/>
    <mergeCell ref="C107:P107"/>
    <mergeCell ref="C108:P108"/>
    <mergeCell ref="C109:P109"/>
    <mergeCell ref="C101:P101"/>
    <mergeCell ref="C102:P102"/>
    <mergeCell ref="C104:P104"/>
    <mergeCell ref="C92:P92"/>
    <mergeCell ref="C103:P103"/>
    <mergeCell ref="C97:P97"/>
    <mergeCell ref="C98:P98"/>
    <mergeCell ref="C99:P99"/>
    <mergeCell ref="C100:P100"/>
    <mergeCell ref="C96:P96"/>
    <mergeCell ref="C88:P88"/>
    <mergeCell ref="C82:P82"/>
    <mergeCell ref="C93:P93"/>
    <mergeCell ref="C94:P94"/>
    <mergeCell ref="C95:P95"/>
    <mergeCell ref="C83:P83"/>
    <mergeCell ref="C84:P84"/>
    <mergeCell ref="C85:P85"/>
    <mergeCell ref="C86:P86"/>
    <mergeCell ref="C87:P87"/>
    <mergeCell ref="C77:P77"/>
    <mergeCell ref="C78:P78"/>
    <mergeCell ref="C79:P79"/>
    <mergeCell ref="C80:P80"/>
    <mergeCell ref="C81:P81"/>
    <mergeCell ref="C72:P72"/>
    <mergeCell ref="C73:P73"/>
    <mergeCell ref="C74:P74"/>
    <mergeCell ref="C75:P75"/>
    <mergeCell ref="C76:P76"/>
    <mergeCell ref="C67:P67"/>
    <mergeCell ref="C68:P68"/>
    <mergeCell ref="C69:P69"/>
    <mergeCell ref="C70:P70"/>
    <mergeCell ref="C71:P71"/>
    <mergeCell ref="C62:P62"/>
    <mergeCell ref="C63:P63"/>
    <mergeCell ref="C64:P64"/>
    <mergeCell ref="C65:P65"/>
    <mergeCell ref="C66:P66"/>
    <mergeCell ref="C57:P57"/>
    <mergeCell ref="C58:P58"/>
    <mergeCell ref="C59:P59"/>
    <mergeCell ref="C60:P60"/>
    <mergeCell ref="C61:P61"/>
    <mergeCell ref="C51:P51"/>
    <mergeCell ref="C52:P52"/>
    <mergeCell ref="C53:P53"/>
    <mergeCell ref="C54:P54"/>
    <mergeCell ref="C55:P55"/>
    <mergeCell ref="C46:P46"/>
    <mergeCell ref="C47:P47"/>
    <mergeCell ref="C48:P48"/>
    <mergeCell ref="C49:P49"/>
    <mergeCell ref="C50:P50"/>
    <mergeCell ref="C44:P44"/>
    <mergeCell ref="C41:P41"/>
    <mergeCell ref="C42:P42"/>
    <mergeCell ref="C43:P43"/>
    <mergeCell ref="C45:P45"/>
    <mergeCell ref="B5:M6"/>
    <mergeCell ref="C20:R21"/>
    <mergeCell ref="B10:M10"/>
    <mergeCell ref="B2:M3"/>
    <mergeCell ref="B14:P18"/>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147C4B-023B-4AC8-832A-A4EEEFEFED92}">
  <sheetPr>
    <tabColor theme="8" tint="0.59999389629810485"/>
  </sheetPr>
  <dimension ref="A2:S63"/>
  <sheetViews>
    <sheetView zoomScaleNormal="100" workbookViewId="0"/>
  </sheetViews>
  <sheetFormatPr defaultColWidth="8.69921875" defaultRowHeight="15.6"/>
  <cols>
    <col min="1" max="1" width="8.69921875" style="1"/>
    <col min="2" max="2" width="13.5" style="1" customWidth="1"/>
    <col min="3" max="3" width="12" style="1" bestFit="1" customWidth="1"/>
    <col min="4" max="4" width="12.3984375" style="1" bestFit="1" customWidth="1"/>
    <col min="5" max="5" width="13.69921875" style="1" bestFit="1" customWidth="1"/>
    <col min="6" max="6" width="14.5" style="1" bestFit="1" customWidth="1"/>
    <col min="7" max="16384" width="8.69921875" style="1"/>
  </cols>
  <sheetData>
    <row r="2" spans="1:19" ht="25.2">
      <c r="B2" s="67" t="s">
        <v>1595</v>
      </c>
    </row>
    <row r="3" spans="1:19" ht="15.6" customHeight="1">
      <c r="B3" s="2"/>
    </row>
    <row r="4" spans="1:19" ht="130.19999999999999" customHeight="1">
      <c r="B4" s="206" t="s">
        <v>1596</v>
      </c>
      <c r="C4" s="206"/>
      <c r="D4" s="206"/>
      <c r="E4" s="206"/>
      <c r="F4" s="206"/>
      <c r="G4" s="206"/>
      <c r="H4" s="206"/>
      <c r="I4" s="206"/>
      <c r="J4" s="206"/>
      <c r="N4" s="206"/>
      <c r="O4" s="206"/>
      <c r="P4" s="206"/>
      <c r="Q4" s="206"/>
      <c r="R4" s="206"/>
      <c r="S4" s="206"/>
    </row>
    <row r="6" spans="1:19" ht="21" customHeight="1">
      <c r="B6" s="161" t="s">
        <v>1404</v>
      </c>
      <c r="C6" s="162" t="s">
        <v>1597</v>
      </c>
      <c r="D6" s="162" t="s">
        <v>1598</v>
      </c>
      <c r="E6" s="162" t="s">
        <v>1599</v>
      </c>
      <c r="F6" s="162" t="s">
        <v>296</v>
      </c>
      <c r="G6" s="3"/>
    </row>
    <row r="7" spans="1:19">
      <c r="A7" s="72">
        <v>1</v>
      </c>
      <c r="B7" s="68">
        <v>43831</v>
      </c>
      <c r="C7" s="61" cm="1">
        <f t="array" ref="C7">SUM(SUMIFS('MAIN DATA, Orders'!$M:$M,'MAIN DATA, Orders'!$C:$C,"Germany",'MAIN DATA, Orders'!$G:$G,{"Aircraft","Development - Aircraft","Missile (Air)","Development - Missile (Air)"},'MAIN DATA, Orders'!$Q:$Q,$A7)/1000000000)</f>
        <v>0</v>
      </c>
      <c r="D7" s="61" cm="1">
        <f t="array" ref="D7">SUM(SUMIFS('MAIN DATA, Orders'!$M:$M,'MAIN DATA, Orders'!$C:$C,"Germany",'MAIN DATA, Orders'!$G:$G,{"Naval","Development - Naval","Missile (Naval)","Development - Missile (Naval)"},'MAIN DATA, Orders'!$Q:$Q,$A7)/1000000000)</f>
        <v>0</v>
      </c>
      <c r="E7" s="61" cm="1">
        <f t="array" ref="E7">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Orders'!$Q:$Q,$A7)/1000000000)</f>
        <v>0</v>
      </c>
      <c r="F7" s="61" cm="1">
        <f t="array" ref="F7">SUM(SUMIFS('MAIN DATA, Orders'!$M:$M,'MAIN DATA, Orders'!$C:$C,"Germany",'MAIN DATA, Orders'!$G:$G,{"Maintenance","Development - Maintenance","Modernisation","Development - Modernisation","Other","Development - Other"},'MAIN DATA, Orders'!$Q:$Q,$A7)/1000000000)</f>
        <v>0</v>
      </c>
      <c r="G7" s="4"/>
    </row>
    <row r="8" spans="1:19">
      <c r="A8" s="72">
        <v>2</v>
      </c>
      <c r="B8" s="68">
        <v>43862</v>
      </c>
      <c r="C8" s="61" cm="1">
        <f t="array" ref="C8">SUM(SUMIFS('MAIN DATA, Orders'!$M:$M,'MAIN DATA, Orders'!$C:$C,"Germany",'MAIN DATA, Orders'!$G:$G,{"Aircraft","Development - Aircraft","Missile (Air)","Development - Missile (Air)"},'MAIN DATA, Orders'!$Q:$Q,$A8)/1000000000)</f>
        <v>0</v>
      </c>
      <c r="D8" s="61" cm="1">
        <f t="array" ref="D8">SUM(SUMIFS('MAIN DATA, Orders'!$M:$M,'MAIN DATA, Orders'!$C:$C,"Germany",'MAIN DATA, Orders'!$G:$G,{"Naval","Development - Naval","Missile (Naval)","Development - Missile (Naval)"},'MAIN DATA, Orders'!$Q:$Q,$A8)/1000000000)</f>
        <v>0</v>
      </c>
      <c r="E8" s="61" cm="1">
        <f t="array" ref="E8">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Orders'!$Q:$Q,$A8)/1000000000)</f>
        <v>0</v>
      </c>
      <c r="F8" s="61" cm="1">
        <f t="array" ref="F8">SUM(SUMIFS('MAIN DATA, Orders'!$M:$M,'MAIN DATA, Orders'!$C:$C,"Germany",'MAIN DATA, Orders'!$G:$G,{"Maintenance","Development - Maintenance","Modernisation","Development - Modernisation","Other","Development - Other"},'MAIN DATA, Orders'!$Q:$Q,$A8)/1000000000)</f>
        <v>0</v>
      </c>
      <c r="G8" s="4"/>
    </row>
    <row r="9" spans="1:19">
      <c r="A9" s="72">
        <v>3</v>
      </c>
      <c r="B9" s="68">
        <v>43891</v>
      </c>
      <c r="C9" s="61" cm="1">
        <f t="array" ref="C9">SUM(SUMIFS('MAIN DATA, Orders'!$M:$M,'MAIN DATA, Orders'!$C:$C,"Germany",'MAIN DATA, Orders'!$G:$G,{"Aircraft","Development - Aircraft","Missile (Air)","Development - Missile (Air)"},'MAIN DATA, Orders'!$Q:$Q,$A9)/1000000000)</f>
        <v>0</v>
      </c>
      <c r="D9" s="61" cm="1">
        <f t="array" ref="D9">SUM(SUMIFS('MAIN DATA, Orders'!$M:$M,'MAIN DATA, Orders'!$C:$C,"Germany",'MAIN DATA, Orders'!$G:$G,{"Naval","Development - Naval","Missile (Naval)","Development - Missile (Naval)"},'MAIN DATA, Orders'!$Q:$Q,$A9)/1000000000)</f>
        <v>0</v>
      </c>
      <c r="E9" s="61" cm="1">
        <f t="array" ref="E9">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Orders'!$Q:$Q,$A9)/1000000000)</f>
        <v>0</v>
      </c>
      <c r="F9" s="61" cm="1">
        <f t="array" ref="F9">SUM(SUMIFS('MAIN DATA, Orders'!$M:$M,'MAIN DATA, Orders'!$C:$C,"Germany",'MAIN DATA, Orders'!$G:$G,{"Maintenance","Development - Maintenance","Modernisation","Development - Modernisation","Other","Development - Other"},'MAIN DATA, Orders'!$Q:$Q,$A9)/1000000000)</f>
        <v>0</v>
      </c>
      <c r="G9" s="4"/>
    </row>
    <row r="10" spans="1:19">
      <c r="A10" s="72">
        <v>4</v>
      </c>
      <c r="B10" s="68">
        <v>43922</v>
      </c>
      <c r="C10" s="61" cm="1">
        <f t="array" ref="C10">SUM(SUMIFS('MAIN DATA, Orders'!$M:$M,'MAIN DATA, Orders'!$C:$C,"Germany",'MAIN DATA, Orders'!$G:$G,{"Aircraft","Development - Aircraft","Missile (Air)","Development - Missile (Air)"},'MAIN DATA, Orders'!$Q:$Q,$A10)/1000000000)</f>
        <v>0</v>
      </c>
      <c r="D10" s="61" cm="1">
        <f t="array" ref="D10">SUM(SUMIFS('MAIN DATA, Orders'!$M:$M,'MAIN DATA, Orders'!$C:$C,"Germany",'MAIN DATA, Orders'!$G:$G,{"Naval","Development - Naval","Missile (Naval)","Development - Missile (Naval)"},'MAIN DATA, Orders'!$Q:$Q,$A10)/1000000000)</f>
        <v>0</v>
      </c>
      <c r="E10" s="61" cm="1">
        <f t="array" ref="E10">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Orders'!$Q:$Q,$A10)/1000000000)</f>
        <v>0</v>
      </c>
      <c r="F10" s="61" cm="1">
        <f t="array" ref="F10">SUM(SUMIFS('MAIN DATA, Orders'!$M:$M,'MAIN DATA, Orders'!$C:$C,"Germany",'MAIN DATA, Orders'!$G:$G,{"Maintenance","Development - Maintenance","Modernisation","Development - Modernisation","Other","Development - Other"},'MAIN DATA, Orders'!$Q:$Q,$A10)/1000000000)</f>
        <v>0</v>
      </c>
      <c r="G10" s="4"/>
    </row>
    <row r="11" spans="1:19">
      <c r="A11" s="72">
        <v>5</v>
      </c>
      <c r="B11" s="68">
        <v>43952</v>
      </c>
      <c r="C11" s="61" cm="1">
        <f t="array" ref="C11">SUM(SUMIFS('MAIN DATA, Orders'!$M:$M,'MAIN DATA, Orders'!$C:$C,"Germany",'MAIN DATA, Orders'!$G:$G,{"Aircraft","Development - Aircraft","Missile (Air)","Development - Missile (Air)"},'MAIN DATA, Orders'!$Q:$Q,$A11)/1000000000)</f>
        <v>0</v>
      </c>
      <c r="D11" s="61" cm="1">
        <f t="array" ref="D11">SUM(SUMIFS('MAIN DATA, Orders'!$M:$M,'MAIN DATA, Orders'!$C:$C,"Germany",'MAIN DATA, Orders'!$G:$G,{"Naval","Development - Naval","Missile (Naval)","Development - Missile (Naval)"},'MAIN DATA, Orders'!$Q:$Q,$A11)/1000000000)</f>
        <v>0</v>
      </c>
      <c r="E11" s="61" cm="1">
        <f t="array" ref="E11">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Orders'!$Q:$Q,$A11)/1000000000)</f>
        <v>0.03</v>
      </c>
      <c r="F11" s="61" cm="1">
        <f t="array" ref="F11">SUM(SUMIFS('MAIN DATA, Orders'!$M:$M,'MAIN DATA, Orders'!$C:$C,"Germany",'MAIN DATA, Orders'!$G:$G,{"Maintenance","Development - Maintenance","Modernisation","Development - Modernisation","Other","Development - Other"},'MAIN DATA, Orders'!$Q:$Q,$A11)/1000000000)</f>
        <v>0</v>
      </c>
      <c r="G11" s="4"/>
    </row>
    <row r="12" spans="1:19">
      <c r="A12" s="72">
        <v>6</v>
      </c>
      <c r="B12" s="68">
        <v>43983</v>
      </c>
      <c r="C12" s="61" cm="1">
        <f t="array" ref="C12">SUM(SUMIFS('MAIN DATA, Orders'!$M:$M,'MAIN DATA, Orders'!$C:$C,"Germany",'MAIN DATA, Orders'!$G:$G,{"Aircraft","Development - Aircraft","Missile (Air)","Development - Missile (Air)"},'MAIN DATA, Orders'!$Q:$Q,$A12)/1000000000)</f>
        <v>2.8</v>
      </c>
      <c r="D12" s="61" cm="1">
        <f t="array" ref="D12">SUM(SUMIFS('MAIN DATA, Orders'!$M:$M,'MAIN DATA, Orders'!$C:$C,"Germany",'MAIN DATA, Orders'!$G:$G,{"Naval","Development - Naval","Missile (Naval)","Development - Missile (Naval)"},'MAIN DATA, Orders'!$Q:$Q,$A12)/1000000000)</f>
        <v>5.6</v>
      </c>
      <c r="E12" s="61" cm="1">
        <f t="array" ref="E12">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Orders'!$Q:$Q,$A12)/1000000000)</f>
        <v>0</v>
      </c>
      <c r="F12" s="61" cm="1">
        <f t="array" ref="F12">SUM(SUMIFS('MAIN DATA, Orders'!$M:$M,'MAIN DATA, Orders'!$C:$C,"Germany",'MAIN DATA, Orders'!$G:$G,{"Maintenance","Development - Maintenance","Modernisation","Development - Modernisation","Other","Development - Other"},'MAIN DATA, Orders'!$Q:$Q,$A12)/1000000000)</f>
        <v>4.5999999999999996</v>
      </c>
      <c r="G12" s="4"/>
    </row>
    <row r="13" spans="1:19">
      <c r="A13" s="72">
        <v>7</v>
      </c>
      <c r="B13" s="68">
        <v>44013</v>
      </c>
      <c r="C13" s="61" cm="1">
        <f t="array" ref="C13">SUM(SUMIFS('MAIN DATA, Orders'!$M:$M,'MAIN DATA, Orders'!$C:$C,"Germany",'MAIN DATA, Orders'!$G:$G,{"Aircraft","Development - Aircraft","Missile (Air)","Development - Missile (Air)"},'MAIN DATA, Orders'!$Q:$Q,$A13)/1000000000)</f>
        <v>0</v>
      </c>
      <c r="D13" s="61" cm="1">
        <f t="array" ref="D13">SUM(SUMIFS('MAIN DATA, Orders'!$M:$M,'MAIN DATA, Orders'!$C:$C,"Germany",'MAIN DATA, Orders'!$G:$G,{"Naval","Development - Naval","Missile (Naval)","Development - Missile (Naval)"},'MAIN DATA, Orders'!$Q:$Q,$A13)/1000000000)</f>
        <v>0</v>
      </c>
      <c r="E13" s="61" cm="1">
        <f t="array" ref="E13">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Orders'!$Q:$Q,$A13)/1000000000)</f>
        <v>0</v>
      </c>
      <c r="F13" s="61" cm="1">
        <f t="array" ref="F13">SUM(SUMIFS('MAIN DATA, Orders'!$M:$M,'MAIN DATA, Orders'!$C:$C,"Germany",'MAIN DATA, Orders'!$G:$G,{"Maintenance","Development - Maintenance","Modernisation","Development - Modernisation","Other","Development - Other"},'MAIN DATA, Orders'!$Q:$Q,$A13)/1000000000)</f>
        <v>0</v>
      </c>
      <c r="G13" s="4"/>
    </row>
    <row r="14" spans="1:19">
      <c r="A14" s="72">
        <v>8</v>
      </c>
      <c r="B14" s="68">
        <v>44044</v>
      </c>
      <c r="C14" s="61" cm="1">
        <f t="array" ref="C14">SUM(SUMIFS('MAIN DATA, Orders'!$M:$M,'MAIN DATA, Orders'!$C:$C,"Germany",'MAIN DATA, Orders'!$G:$G,{"Aircraft","Development - Aircraft","Missile (Air)","Development - Missile (Air)"},'MAIN DATA, Orders'!$Q:$Q,$A14)/1000000000)</f>
        <v>0</v>
      </c>
      <c r="D14" s="61" cm="1">
        <f t="array" ref="D14">SUM(SUMIFS('MAIN DATA, Orders'!$M:$M,'MAIN DATA, Orders'!$C:$C,"Germany",'MAIN DATA, Orders'!$G:$G,{"Naval","Development - Naval","Missile (Naval)","Development - Missile (Naval)"},'MAIN DATA, Orders'!$Q:$Q,$A14)/1000000000)</f>
        <v>0</v>
      </c>
      <c r="E14" s="61" cm="1">
        <f t="array" ref="E14">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Orders'!$Q:$Q,$A14)/1000000000)</f>
        <v>0</v>
      </c>
      <c r="F14" s="61" cm="1">
        <f t="array" ref="F14">SUM(SUMIFS('MAIN DATA, Orders'!$M:$M,'MAIN DATA, Orders'!$C:$C,"Germany",'MAIN DATA, Orders'!$G:$G,{"Maintenance","Development - Maintenance","Modernisation","Development - Modernisation","Other","Development - Other"},'MAIN DATA, Orders'!$Q:$Q,$A14)/1000000000)</f>
        <v>0.35</v>
      </c>
      <c r="G14" s="4"/>
    </row>
    <row r="15" spans="1:19">
      <c r="A15" s="72">
        <v>9</v>
      </c>
      <c r="B15" s="68">
        <v>44075</v>
      </c>
      <c r="C15" s="61" cm="1">
        <f t="array" ref="C15">SUM(SUMIFS('MAIN DATA, Orders'!$M:$M,'MAIN DATA, Orders'!$C:$C,"Germany",'MAIN DATA, Orders'!$G:$G,{"Aircraft","Development - Aircraft","Missile (Air)","Development - Missile (Air)"},'MAIN DATA, Orders'!$Q:$Q,$A15)/1000000000)</f>
        <v>0.21299999999999999</v>
      </c>
      <c r="D15" s="61" cm="1">
        <f t="array" ref="D15">SUM(SUMIFS('MAIN DATA, Orders'!$M:$M,'MAIN DATA, Orders'!$C:$C,"Germany",'MAIN DATA, Orders'!$G:$G,{"Naval","Development - Naval","Missile (Naval)","Development - Missile (Naval)"},'MAIN DATA, Orders'!$Q:$Q,$A15)/1000000000)</f>
        <v>0.29099999999999998</v>
      </c>
      <c r="E15" s="61" cm="1">
        <f t="array" ref="E15">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Orders'!$Q:$Q,$A15)/1000000000)</f>
        <v>0</v>
      </c>
      <c r="F15" s="61" cm="1">
        <f t="array" ref="F15">SUM(SUMIFS('MAIN DATA, Orders'!$M:$M,'MAIN DATA, Orders'!$C:$C,"Germany",'MAIN DATA, Orders'!$G:$G,{"Maintenance","Development - Maintenance","Modernisation","Development - Modernisation","Other","Development - Other"},'MAIN DATA, Orders'!$Q:$Q,$A15)/1000000000)</f>
        <v>1.88</v>
      </c>
      <c r="G15" s="4"/>
    </row>
    <row r="16" spans="1:19">
      <c r="A16" s="72">
        <v>10</v>
      </c>
      <c r="B16" s="68">
        <v>44105</v>
      </c>
      <c r="C16" s="61" cm="1">
        <f t="array" ref="C16">SUM(SUMIFS('MAIN DATA, Orders'!$M:$M,'MAIN DATA, Orders'!$C:$C,"Germany",'MAIN DATA, Orders'!$G:$G,{"Aircraft","Development - Aircraft","Missile (Air)","Development - Missile (Air)"},'MAIN DATA, Orders'!$Q:$Q,$A16)/1000000000)</f>
        <v>0</v>
      </c>
      <c r="D16" s="61" cm="1">
        <f t="array" ref="D16">SUM(SUMIFS('MAIN DATA, Orders'!$M:$M,'MAIN DATA, Orders'!$C:$C,"Germany",'MAIN DATA, Orders'!$G:$G,{"Naval","Development - Naval","Missile (Naval)","Development - Missile (Naval)"},'MAIN DATA, Orders'!$Q:$Q,$A16)/1000000000)</f>
        <v>0</v>
      </c>
      <c r="E16" s="61" cm="1">
        <f t="array" ref="E16">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Orders'!$Q:$Q,$A16)/1000000000)</f>
        <v>0</v>
      </c>
      <c r="F16" s="61" cm="1">
        <f t="array" ref="F16">SUM(SUMIFS('MAIN DATA, Orders'!$M:$M,'MAIN DATA, Orders'!$C:$C,"Germany",'MAIN DATA, Orders'!$G:$G,{"Maintenance","Development - Maintenance","Modernisation","Development - Modernisation","Other","Development - Other"},'MAIN DATA, Orders'!$Q:$Q,$A16)/1000000000)</f>
        <v>0.04</v>
      </c>
      <c r="G16" s="4"/>
    </row>
    <row r="17" spans="1:6">
      <c r="A17" s="72">
        <v>11</v>
      </c>
      <c r="B17" s="68">
        <v>44136</v>
      </c>
      <c r="C17" s="61" cm="1">
        <f t="array" ref="C17">SUM(SUMIFS('MAIN DATA, Orders'!$M:$M,'MAIN DATA, Orders'!$C:$C,"Germany",'MAIN DATA, Orders'!$G:$G,{"Aircraft","Development - Aircraft","Missile (Air)","Development - Missile (Air)"},'MAIN DATA, Orders'!$Q:$Q,$A17)/1000000000)</f>
        <v>5.5</v>
      </c>
      <c r="D17" s="61" cm="1">
        <f t="array" ref="D17">SUM(SUMIFS('MAIN DATA, Orders'!$M:$M,'MAIN DATA, Orders'!$C:$C,"Germany",'MAIN DATA, Orders'!$G:$G,{"Naval","Development - Naval","Missile (Naval)","Development - Missile (Naval)"},'MAIN DATA, Orders'!$Q:$Q,$A17)/1000000000)</f>
        <v>2.7309999999999999</v>
      </c>
      <c r="E17" s="61" cm="1">
        <f t="array" ref="E17">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Orders'!$Q:$Q,$A17)/1000000000)</f>
        <v>0.20599999999999999</v>
      </c>
      <c r="F17" s="61" cm="1">
        <f t="array" ref="F17">SUM(SUMIFS('MAIN DATA, Orders'!$M:$M,'MAIN DATA, Orders'!$C:$C,"Germany",'MAIN DATA, Orders'!$G:$G,{"Maintenance","Development - Maintenance","Modernisation","Development - Modernisation","Other","Development - Other"},'MAIN DATA, Orders'!$Q:$Q,$A17)/1000000000)</f>
        <v>0.749</v>
      </c>
    </row>
    <row r="18" spans="1:6">
      <c r="A18" s="72">
        <v>12</v>
      </c>
      <c r="B18" s="68">
        <v>44166</v>
      </c>
      <c r="C18" s="61" cm="1">
        <f t="array" ref="C18">SUM(SUMIFS('MAIN DATA, Orders'!$M:$M,'MAIN DATA, Orders'!$C:$C,"Germany",'MAIN DATA, Orders'!$G:$G,{"Aircraft","Development - Aircraft","Missile (Air)","Development - Missile (Air)"},'MAIN DATA, Orders'!$Q:$Q,$A18)/1000000000)</f>
        <v>0</v>
      </c>
      <c r="D18" s="61" cm="1">
        <f t="array" ref="D18">SUM(SUMIFS('MAIN DATA, Orders'!$M:$M,'MAIN DATA, Orders'!$C:$C,"Germany",'MAIN DATA, Orders'!$G:$G,{"Naval","Development - Naval","Missile (Naval)","Development - Missile (Naval)"},'MAIN DATA, Orders'!$Q:$Q,$A18)/1000000000)</f>
        <v>0</v>
      </c>
      <c r="E18" s="61" cm="1">
        <f t="array" ref="E18">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Orders'!$Q:$Q,$A18)/1000000000)</f>
        <v>0</v>
      </c>
      <c r="F18" s="61" cm="1">
        <f t="array" ref="F18">SUM(SUMIFS('MAIN DATA, Orders'!$M:$M,'MAIN DATA, Orders'!$C:$C,"Germany",'MAIN DATA, Orders'!$G:$G,{"Maintenance","Development - Maintenance","Modernisation","Development - Modernisation","Other","Development - Other"},'MAIN DATA, Orders'!$Q:$Q,$A18)/1000000000)</f>
        <v>0.45</v>
      </c>
    </row>
    <row r="19" spans="1:6">
      <c r="A19" s="72">
        <v>13</v>
      </c>
      <c r="B19" s="68">
        <v>44197</v>
      </c>
      <c r="C19" s="61" cm="1">
        <f t="array" ref="C19">SUM(SUMIFS('MAIN DATA, Orders'!$M:$M,'MAIN DATA, Orders'!$C:$C,"Germany",'MAIN DATA, Orders'!$G:$G,{"Aircraft","Development - Aircraft","Missile (Air)","Development - Missile (Air)"},'MAIN DATA, Orders'!$Q:$Q,$A19)/1000000000)</f>
        <v>0</v>
      </c>
      <c r="D19" s="61" cm="1">
        <f t="array" ref="D19">SUM(SUMIFS('MAIN DATA, Orders'!$M:$M,'MAIN DATA, Orders'!$C:$C,"Germany",'MAIN DATA, Orders'!$G:$G,{"Naval","Development - Naval","Missile (Naval)","Development - Missile (Naval)"},'MAIN DATA, Orders'!$Q:$Q,$A19)/1000000000)</f>
        <v>0</v>
      </c>
      <c r="E19" s="61" cm="1">
        <f t="array" ref="E19">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Orders'!$Q:$Q,$A19)/1000000000)</f>
        <v>0</v>
      </c>
      <c r="F19" s="61" cm="1">
        <f t="array" ref="F19">SUM(SUMIFS('MAIN DATA, Orders'!$M:$M,'MAIN DATA, Orders'!$C:$C,"Germany",'MAIN DATA, Orders'!$G:$G,{"Maintenance","Development - Maintenance","Modernisation","Development - Modernisation","Other","Development - Other"},'MAIN DATA, Orders'!$Q:$Q,$A19)/1000000000)</f>
        <v>0</v>
      </c>
    </row>
    <row r="20" spans="1:6">
      <c r="A20" s="72">
        <v>14</v>
      </c>
      <c r="B20" s="68">
        <v>44228</v>
      </c>
      <c r="C20" s="61" cm="1">
        <f t="array" ref="C20">SUM(SUMIFS('MAIN DATA, Orders'!$M:$M,'MAIN DATA, Orders'!$C:$C,"Germany",'MAIN DATA, Orders'!$G:$G,{"Aircraft","Development - Aircraft","Missile (Air)","Development - Missile (Air)"},'MAIN DATA, Orders'!$Q:$Q,$A20)/1000000000)</f>
        <v>0</v>
      </c>
      <c r="D20" s="61" cm="1">
        <f t="array" ref="D20">SUM(SUMIFS('MAIN DATA, Orders'!$M:$M,'MAIN DATA, Orders'!$C:$C,"Germany",'MAIN DATA, Orders'!$G:$G,{"Naval","Development - Naval","Missile (Naval)","Development - Missile (Naval)"},'MAIN DATA, Orders'!$Q:$Q,$A20)/1000000000)</f>
        <v>0</v>
      </c>
      <c r="E20" s="61" cm="1">
        <f t="array" ref="E20">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Orders'!$Q:$Q,$A20)/1000000000)</f>
        <v>8.7999999999999995E-2</v>
      </c>
      <c r="F20" s="61" cm="1">
        <f t="array" ref="F20">SUM(SUMIFS('MAIN DATA, Orders'!$M:$M,'MAIN DATA, Orders'!$C:$C,"Germany",'MAIN DATA, Orders'!$G:$G,{"Maintenance","Development - Maintenance","Modernisation","Development - Modernisation","Other","Development - Other"},'MAIN DATA, Orders'!$Q:$Q,$A20)/1000000000)</f>
        <v>0</v>
      </c>
    </row>
    <row r="21" spans="1:6">
      <c r="A21" s="72">
        <v>15</v>
      </c>
      <c r="B21" s="68">
        <v>44256</v>
      </c>
      <c r="C21" s="61" cm="1">
        <f t="array" ref="C21">SUM(SUMIFS('MAIN DATA, Orders'!$M:$M,'MAIN DATA, Orders'!$C:$C,"Germany",'MAIN DATA, Orders'!$G:$G,{"Aircraft","Development - Aircraft","Missile (Air)","Development - Missile (Air)"},'MAIN DATA, Orders'!$Q:$Q,$A21)/1000000000)</f>
        <v>0</v>
      </c>
      <c r="D21" s="61" cm="1">
        <f t="array" ref="D21">SUM(SUMIFS('MAIN DATA, Orders'!$M:$M,'MAIN DATA, Orders'!$C:$C,"Germany",'MAIN DATA, Orders'!$G:$G,{"Naval","Development - Naval","Missile (Naval)","Development - Missile (Naval)"},'MAIN DATA, Orders'!$Q:$Q,$A21)/1000000000)</f>
        <v>0</v>
      </c>
      <c r="E21" s="61" cm="1">
        <f t="array" ref="E21">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Orders'!$Q:$Q,$A21)/1000000000)</f>
        <v>0</v>
      </c>
      <c r="F21" s="61" cm="1">
        <f t="array" ref="F21">SUM(SUMIFS('MAIN DATA, Orders'!$M:$M,'MAIN DATA, Orders'!$C:$C,"Germany",'MAIN DATA, Orders'!$G:$G,{"Maintenance","Development - Maintenance","Modernisation","Development - Modernisation","Other","Development - Other"},'MAIN DATA, Orders'!$Q:$Q,$A21)/1000000000)</f>
        <v>0</v>
      </c>
    </row>
    <row r="22" spans="1:6">
      <c r="A22" s="72">
        <v>16</v>
      </c>
      <c r="B22" s="68">
        <v>44287</v>
      </c>
      <c r="C22" s="61" cm="1">
        <f t="array" ref="C22">SUM(SUMIFS('MAIN DATA, Orders'!$M:$M,'MAIN DATA, Orders'!$C:$C,"Germany",'MAIN DATA, Orders'!$G:$G,{"Aircraft","Development - Aircraft","Missile (Air)","Development - Missile (Air)"},'MAIN DATA, Orders'!$Q:$Q,$A22)/1000000000)</f>
        <v>0.105</v>
      </c>
      <c r="D22" s="61" cm="1">
        <f t="array" ref="D22">SUM(SUMIFS('MAIN DATA, Orders'!$M:$M,'MAIN DATA, Orders'!$C:$C,"Germany",'MAIN DATA, Orders'!$G:$G,{"Naval","Development - Naval","Missile (Naval)","Development - Missile (Naval)"},'MAIN DATA, Orders'!$Q:$Q,$A22)/1000000000)</f>
        <v>7.8E-2</v>
      </c>
      <c r="E22" s="61" cm="1">
        <f t="array" ref="E22">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Orders'!$Q:$Q,$A22)/1000000000)</f>
        <v>3.4580000000000002</v>
      </c>
      <c r="F22" s="61" cm="1">
        <f t="array" ref="F22">SUM(SUMIFS('MAIN DATA, Orders'!$M:$M,'MAIN DATA, Orders'!$C:$C,"Germany",'MAIN DATA, Orders'!$G:$G,{"Maintenance","Development - Maintenance","Modernisation","Development - Modernisation","Other","Development - Other"},'MAIN DATA, Orders'!$Q:$Q,$A22)/1000000000)</f>
        <v>5.8999999999999997E-2</v>
      </c>
    </row>
    <row r="23" spans="1:6">
      <c r="A23" s="72">
        <v>17</v>
      </c>
      <c r="B23" s="68">
        <v>44317</v>
      </c>
      <c r="C23" s="61" cm="1">
        <f t="array" ref="C23">SUM(SUMIFS('MAIN DATA, Orders'!$M:$M,'MAIN DATA, Orders'!$C:$C,"Germany",'MAIN DATA, Orders'!$G:$G,{"Aircraft","Development - Aircraft","Missile (Air)","Development - Missile (Air)"},'MAIN DATA, Orders'!$Q:$Q,$A23)/1000000000)</f>
        <v>0</v>
      </c>
      <c r="D23" s="61" cm="1">
        <f t="array" ref="D23">SUM(SUMIFS('MAIN DATA, Orders'!$M:$M,'MAIN DATA, Orders'!$C:$C,"Germany",'MAIN DATA, Orders'!$G:$G,{"Naval","Development - Naval","Missile (Naval)","Development - Missile (Naval)"},'MAIN DATA, Orders'!$Q:$Q,$A23)/1000000000)</f>
        <v>0</v>
      </c>
      <c r="E23" s="61" cm="1">
        <f t="array" ref="E23">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Orders'!$Q:$Q,$A23)/1000000000)</f>
        <v>0</v>
      </c>
      <c r="F23" s="61" cm="1">
        <f t="array" ref="F23">SUM(SUMIFS('MAIN DATA, Orders'!$M:$M,'MAIN DATA, Orders'!$C:$C,"Germany",'MAIN DATA, Orders'!$G:$G,{"Maintenance","Development - Maintenance","Modernisation","Development - Modernisation","Other","Development - Other"},'MAIN DATA, Orders'!$Q:$Q,$A23)/1000000000)</f>
        <v>2.4019999999999997</v>
      </c>
    </row>
    <row r="24" spans="1:6">
      <c r="A24" s="72">
        <v>18</v>
      </c>
      <c r="B24" s="68">
        <v>44348</v>
      </c>
      <c r="C24" s="61" cm="1">
        <f t="array" ref="C24">SUM(SUMIFS('MAIN DATA, Orders'!$M:$M,'MAIN DATA, Orders'!$C:$C,"Germany",'MAIN DATA, Orders'!$G:$G,{"Aircraft","Development - Aircraft","Missile (Air)","Development - Missile (Air)"},'MAIN DATA, Orders'!$Q:$Q,$A24)/1000000000)</f>
        <v>6.2130000000000001</v>
      </c>
      <c r="D24" s="61" cm="1">
        <f t="array" ref="D24">SUM(SUMIFS('MAIN DATA, Orders'!$M:$M,'MAIN DATA, Orders'!$C:$C,"Germany",'MAIN DATA, Orders'!$G:$G,{"Naval","Development - Naval","Missile (Naval)","Development - Missile (Naval)"},'MAIN DATA, Orders'!$Q:$Q,$A24)/1000000000)</f>
        <v>7.4718780000000002</v>
      </c>
      <c r="E24" s="61" cm="1">
        <f t="array" ref="E24">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Orders'!$Q:$Q,$A24)/1000000000)</f>
        <v>1.32</v>
      </c>
      <c r="F24" s="61" cm="1">
        <f t="array" ref="F24">SUM(SUMIFS('MAIN DATA, Orders'!$M:$M,'MAIN DATA, Orders'!$C:$C,"Germany",'MAIN DATA, Orders'!$G:$G,{"Maintenance","Development - Maintenance","Modernisation","Development - Modernisation","Other","Development - Other"},'MAIN DATA, Orders'!$Q:$Q,$A24)/1000000000)</f>
        <v>1.1419999999999999</v>
      </c>
    </row>
    <row r="25" spans="1:6">
      <c r="A25" s="72">
        <v>19</v>
      </c>
      <c r="B25" s="68">
        <v>44378</v>
      </c>
      <c r="C25" s="61" cm="1">
        <f t="array" ref="C25">SUM(SUMIFS('MAIN DATA, Orders'!$M:$M,'MAIN DATA, Orders'!$C:$C,"Germany",'MAIN DATA, Orders'!$G:$G,{"Aircraft","Development - Aircraft","Missile (Air)","Development - Missile (Air)"},'MAIN DATA, Orders'!$Q:$Q,$A25)/1000000000)</f>
        <v>0</v>
      </c>
      <c r="D25" s="61" cm="1">
        <f t="array" ref="D25">SUM(SUMIFS('MAIN DATA, Orders'!$M:$M,'MAIN DATA, Orders'!$C:$C,"Germany",'MAIN DATA, Orders'!$G:$G,{"Naval","Development - Naval","Missile (Naval)","Development - Missile (Naval)"},'MAIN DATA, Orders'!$Q:$Q,$A25)/1000000000)</f>
        <v>0</v>
      </c>
      <c r="E25" s="61" cm="1">
        <f t="array" ref="E25">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Orders'!$Q:$Q,$A25)/1000000000)</f>
        <v>0</v>
      </c>
      <c r="F25" s="61" cm="1">
        <f t="array" ref="F25">SUM(SUMIFS('MAIN DATA, Orders'!$M:$M,'MAIN DATA, Orders'!$C:$C,"Germany",'MAIN DATA, Orders'!$G:$G,{"Maintenance","Development - Maintenance","Modernisation","Development - Modernisation","Other","Development - Other"},'MAIN DATA, Orders'!$Q:$Q,$A25)/1000000000)</f>
        <v>0</v>
      </c>
    </row>
    <row r="26" spans="1:6">
      <c r="A26" s="72">
        <v>20</v>
      </c>
      <c r="B26" s="68">
        <v>44409</v>
      </c>
      <c r="C26" s="61" cm="1">
        <f t="array" ref="C26">SUM(SUMIFS('MAIN DATA, Orders'!$M:$M,'MAIN DATA, Orders'!$C:$C,"Germany",'MAIN DATA, Orders'!$G:$G,{"Aircraft","Development - Aircraft","Missile (Air)","Development - Missile (Air)"},'MAIN DATA, Orders'!$Q:$Q,$A26)/1000000000)</f>
        <v>0</v>
      </c>
      <c r="D26" s="61" cm="1">
        <f t="array" ref="D26">SUM(SUMIFS('MAIN DATA, Orders'!$M:$M,'MAIN DATA, Orders'!$C:$C,"Germany",'MAIN DATA, Orders'!$G:$G,{"Naval","Development - Naval","Missile (Naval)","Development - Missile (Naval)"},'MAIN DATA, Orders'!$Q:$Q,$A26)/1000000000)</f>
        <v>0</v>
      </c>
      <c r="E26" s="61" cm="1">
        <f t="array" ref="E26">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Orders'!$Q:$Q,$A26)/1000000000)</f>
        <v>0</v>
      </c>
      <c r="F26" s="61" cm="1">
        <f t="array" ref="F26">SUM(SUMIFS('MAIN DATA, Orders'!$M:$M,'MAIN DATA, Orders'!$C:$C,"Germany",'MAIN DATA, Orders'!$G:$G,{"Maintenance","Development - Maintenance","Modernisation","Development - Modernisation","Other","Development - Other"},'MAIN DATA, Orders'!$Q:$Q,$A26)/1000000000)</f>
        <v>0</v>
      </c>
    </row>
    <row r="27" spans="1:6">
      <c r="A27" s="72">
        <v>21</v>
      </c>
      <c r="B27" s="68">
        <v>44440</v>
      </c>
      <c r="C27" s="61" cm="1">
        <f t="array" ref="C27">SUM(SUMIFS('MAIN DATA, Orders'!$M:$M,'MAIN DATA, Orders'!$C:$C,"Germany",'MAIN DATA, Orders'!$G:$G,{"Aircraft","Development - Aircraft","Missile (Air)","Development - Missile (Air)"},'MAIN DATA, Orders'!$Q:$Q,$A27)/1000000000)</f>
        <v>0</v>
      </c>
      <c r="D27" s="61" cm="1">
        <f t="array" ref="D27">SUM(SUMIFS('MAIN DATA, Orders'!$M:$M,'MAIN DATA, Orders'!$C:$C,"Germany",'MAIN DATA, Orders'!$G:$G,{"Naval","Development - Naval","Missile (Naval)","Development - Missile (Naval)"},'MAIN DATA, Orders'!$Q:$Q,$A27)/1000000000)</f>
        <v>0</v>
      </c>
      <c r="E27" s="61" cm="1">
        <f t="array" ref="E27">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Orders'!$Q:$Q,$A27)/1000000000)</f>
        <v>0</v>
      </c>
      <c r="F27" s="61" cm="1">
        <f t="array" ref="F27">SUM(SUMIFS('MAIN DATA, Orders'!$M:$M,'MAIN DATA, Orders'!$C:$C,"Germany",'MAIN DATA, Orders'!$G:$G,{"Maintenance","Development - Maintenance","Modernisation","Development - Modernisation","Other","Development - Other"},'MAIN DATA, Orders'!$Q:$Q,$A27)/1000000000)</f>
        <v>0</v>
      </c>
    </row>
    <row r="28" spans="1:6">
      <c r="A28" s="72">
        <v>22</v>
      </c>
      <c r="B28" s="68">
        <v>44470</v>
      </c>
      <c r="C28" s="61" cm="1">
        <f t="array" ref="C28">SUM(SUMIFS('MAIN DATA, Orders'!$M:$M,'MAIN DATA, Orders'!$C:$C,"Germany",'MAIN DATA, Orders'!$G:$G,{"Aircraft","Development - Aircraft","Missile (Air)","Development - Missile (Air)"},'MAIN DATA, Orders'!$Q:$Q,$A28)/1000000000)</f>
        <v>0</v>
      </c>
      <c r="D28" s="61" cm="1">
        <f t="array" ref="D28">SUM(SUMIFS('MAIN DATA, Orders'!$M:$M,'MAIN DATA, Orders'!$C:$C,"Germany",'MAIN DATA, Orders'!$G:$G,{"Naval","Development - Naval","Missile (Naval)","Development - Missile (Naval)"},'MAIN DATA, Orders'!$Q:$Q,$A28)/1000000000)</f>
        <v>0</v>
      </c>
      <c r="E28" s="61" cm="1">
        <f t="array" ref="E28">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Orders'!$Q:$Q,$A28)/1000000000)</f>
        <v>0</v>
      </c>
      <c r="F28" s="61" cm="1">
        <f t="array" ref="F28">SUM(SUMIFS('MAIN DATA, Orders'!$M:$M,'MAIN DATA, Orders'!$C:$C,"Germany",'MAIN DATA, Orders'!$G:$G,{"Maintenance","Development - Maintenance","Modernisation","Development - Modernisation","Other","Development - Other"},'MAIN DATA, Orders'!$Q:$Q,$A28)/1000000000)</f>
        <v>0</v>
      </c>
    </row>
    <row r="29" spans="1:6">
      <c r="A29" s="72">
        <v>23</v>
      </c>
      <c r="B29" s="68">
        <v>44501</v>
      </c>
      <c r="C29" s="61" cm="1">
        <f t="array" ref="C29">SUM(SUMIFS('MAIN DATA, Orders'!$M:$M,'MAIN DATA, Orders'!$C:$C,"Germany",'MAIN DATA, Orders'!$G:$G,{"Aircraft","Development - Aircraft","Missile (Air)","Development - Missile (Air)"},'MAIN DATA, Orders'!$Q:$Q,$A29)/1000000000)</f>
        <v>0</v>
      </c>
      <c r="D29" s="61" cm="1">
        <f t="array" ref="D29">SUM(SUMIFS('MAIN DATA, Orders'!$M:$M,'MAIN DATA, Orders'!$C:$C,"Germany",'MAIN DATA, Orders'!$G:$G,{"Naval","Development - Naval","Missile (Naval)","Development - Missile (Naval)"},'MAIN DATA, Orders'!$Q:$Q,$A29)/1000000000)</f>
        <v>0</v>
      </c>
      <c r="E29" s="61" cm="1">
        <f t="array" ref="E29">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Orders'!$Q:$Q,$A29)/1000000000)</f>
        <v>0</v>
      </c>
      <c r="F29" s="61" cm="1">
        <f t="array" ref="F29">SUM(SUMIFS('MAIN DATA, Orders'!$M:$M,'MAIN DATA, Orders'!$C:$C,"Germany",'MAIN DATA, Orders'!$G:$G,{"Maintenance","Development - Maintenance","Modernisation","Development - Modernisation","Other","Development - Other"},'MAIN DATA, Orders'!$Q:$Q,$A29)/1000000000)</f>
        <v>0</v>
      </c>
    </row>
    <row r="30" spans="1:6">
      <c r="A30" s="72">
        <v>24</v>
      </c>
      <c r="B30" s="68">
        <v>44531</v>
      </c>
      <c r="C30" s="61" cm="1">
        <f t="array" ref="C30">SUM(SUMIFS('MAIN DATA, Orders'!$M:$M,'MAIN DATA, Orders'!$C:$C,"Germany",'MAIN DATA, Orders'!$G:$G,{"Aircraft","Development - Aircraft","Missile (Air)","Development - Missile (Air)"},'MAIN DATA, Orders'!$Q:$Q,$A30)/1000000000)</f>
        <v>0</v>
      </c>
      <c r="D30" s="61" cm="1">
        <f t="array" ref="D30">SUM(SUMIFS('MAIN DATA, Orders'!$M:$M,'MAIN DATA, Orders'!$C:$C,"Germany",'MAIN DATA, Orders'!$G:$G,{"Naval","Development - Naval","Missile (Naval)","Development - Missile (Naval)"},'MAIN DATA, Orders'!$Q:$Q,$A30)/1000000000)</f>
        <v>0</v>
      </c>
      <c r="E30" s="61" cm="1">
        <f t="array" ref="E30">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Orders'!$Q:$Q,$A30)/1000000000)</f>
        <v>0</v>
      </c>
      <c r="F30" s="61" cm="1">
        <f t="array" ref="F30">SUM(SUMIFS('MAIN DATA, Orders'!$M:$M,'MAIN DATA, Orders'!$C:$C,"Germany",'MAIN DATA, Orders'!$G:$G,{"Maintenance","Development - Maintenance","Modernisation","Development - Modernisation","Other","Development - Other"},'MAIN DATA, Orders'!$Q:$Q,$A30)/1000000000)</f>
        <v>0</v>
      </c>
    </row>
    <row r="31" spans="1:6">
      <c r="A31" s="72">
        <v>25</v>
      </c>
      <c r="B31" s="68">
        <v>44562</v>
      </c>
      <c r="C31" s="61" cm="1">
        <f t="array" ref="C31">SUM(SUMIFS('MAIN DATA, Orders'!$M:$M,'MAIN DATA, Orders'!$C:$C,"Germany",'MAIN DATA, Orders'!$G:$G,{"Aircraft","Development - Aircraft","Missile (Air)","Development - Missile (Air)"},'MAIN DATA, Orders'!$Q:$Q,$A31)/1000000000)</f>
        <v>0</v>
      </c>
      <c r="D31" s="61" cm="1">
        <f t="array" ref="D31">SUM(SUMIFS('MAIN DATA, Orders'!$M:$M,'MAIN DATA, Orders'!$C:$C,"Germany",'MAIN DATA, Orders'!$G:$G,{"Naval","Development - Naval","Missile (Naval)","Development - Missile (Naval)"},'MAIN DATA, Orders'!$Q:$Q,$A31)/1000000000)</f>
        <v>0</v>
      </c>
      <c r="E31" s="61" cm="1">
        <f t="array" ref="E31">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Orders'!$Q:$Q,$A31)/1000000000)</f>
        <v>0</v>
      </c>
      <c r="F31" s="61" cm="1">
        <f t="array" ref="F31">SUM(SUMIFS('MAIN DATA, Orders'!$M:$M,'MAIN DATA, Orders'!$C:$C,"Germany",'MAIN DATA, Orders'!$G:$G,{"Maintenance","Development - Maintenance","Modernisation","Development - Modernisation","Other","Development - Other"},'MAIN DATA, Orders'!$Q:$Q,$A31)/1000000000)</f>
        <v>0</v>
      </c>
    </row>
    <row r="32" spans="1:6">
      <c r="A32" s="72">
        <v>26</v>
      </c>
      <c r="B32" s="68">
        <v>44593</v>
      </c>
      <c r="C32" s="61" cm="1">
        <f t="array" ref="C32">SUM(SUMIFS('MAIN DATA, Orders'!$M:$M,'MAIN DATA, Orders'!$C:$C,"Germany",'MAIN DATA, Orders'!$G:$G,{"Aircraft","Development - Aircraft","Missile (Air)","Development - Missile (Air)"},'MAIN DATA, Orders'!$Q:$Q,$A32)/1000000000)</f>
        <v>0</v>
      </c>
      <c r="D32" s="61" cm="1">
        <f t="array" ref="D32">SUM(SUMIFS('MAIN DATA, Orders'!$M:$M,'MAIN DATA, Orders'!$C:$C,"Germany",'MAIN DATA, Orders'!$G:$G,{"Naval","Development - Naval","Missile (Naval)","Development - Missile (Naval)"},'MAIN DATA, Orders'!$Q:$Q,$A32)/1000000000)</f>
        <v>0</v>
      </c>
      <c r="E32" s="61" cm="1">
        <f t="array" ref="E32">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Orders'!$Q:$Q,$A32)/1000000000)</f>
        <v>0</v>
      </c>
      <c r="F32" s="61" cm="1">
        <f t="array" ref="F32">SUM(SUMIFS('MAIN DATA, Orders'!$M:$M,'MAIN DATA, Orders'!$C:$C,"Germany",'MAIN DATA, Orders'!$G:$G,{"Maintenance","Development - Maintenance","Modernisation","Development - Modernisation","Other","Development - Other"},'MAIN DATA, Orders'!$Q:$Q,$A32)/1000000000)</f>
        <v>0</v>
      </c>
    </row>
    <row r="33" spans="1:6">
      <c r="A33" s="72">
        <v>27</v>
      </c>
      <c r="B33" s="68">
        <v>44621</v>
      </c>
      <c r="C33" s="61" cm="1">
        <f t="array" ref="C33">SUM(SUMIFS('MAIN DATA, Orders'!$M:$M,'MAIN DATA, Orders'!$C:$C,"Germany",'MAIN DATA, Orders'!$G:$G,{"Aircraft","Development - Aircraft","Missile (Air)","Development - Missile (Air)"},'MAIN DATA, Orders'!$Q:$Q,$A33)/1000000000)</f>
        <v>0</v>
      </c>
      <c r="D33" s="61" cm="1">
        <f t="array" ref="D33">SUM(SUMIFS('MAIN DATA, Orders'!$M:$M,'MAIN DATA, Orders'!$C:$C,"Germany",'MAIN DATA, Orders'!$G:$G,{"Naval","Development - Naval","Missile (Naval)","Development - Missile (Naval)"},'MAIN DATA, Orders'!$Q:$Q,$A33)/1000000000)</f>
        <v>0</v>
      </c>
      <c r="E33" s="61" cm="1">
        <f t="array" ref="E33">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Orders'!$Q:$Q,$A33)/1000000000)</f>
        <v>0</v>
      </c>
      <c r="F33" s="61" cm="1">
        <f t="array" ref="F33">SUM(SUMIFS('MAIN DATA, Orders'!$M:$M,'MAIN DATA, Orders'!$C:$C,"Germany",'MAIN DATA, Orders'!$G:$G,{"Maintenance","Development - Maintenance","Modernisation","Development - Modernisation","Other","Development - Other"},'MAIN DATA, Orders'!$Q:$Q,$A33)/1000000000)</f>
        <v>0</v>
      </c>
    </row>
    <row r="34" spans="1:6">
      <c r="A34" s="72">
        <v>28</v>
      </c>
      <c r="B34" s="68">
        <v>44652</v>
      </c>
      <c r="C34" s="61" cm="1">
        <f t="array" ref="C34">SUM(SUMIFS('MAIN DATA, Orders'!$M:$M,'MAIN DATA, Orders'!$C:$C,"Germany",'MAIN DATA, Orders'!$G:$G,{"Aircraft","Development - Aircraft","Missile (Air)","Development - Missile (Air)"},'MAIN DATA, Orders'!$Q:$Q,$A34)/1000000000)</f>
        <v>0</v>
      </c>
      <c r="D34" s="61" cm="1">
        <f t="array" ref="D34">SUM(SUMIFS('MAIN DATA, Orders'!$M:$M,'MAIN DATA, Orders'!$C:$C,"Germany",'MAIN DATA, Orders'!$G:$G,{"Naval","Development - Naval","Missile (Naval)","Development - Missile (Naval)"},'MAIN DATA, Orders'!$Q:$Q,$A34)/1000000000)</f>
        <v>0</v>
      </c>
      <c r="E34" s="61" cm="1">
        <f t="array" ref="E34">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Orders'!$Q:$Q,$A34)/1000000000)</f>
        <v>0.15</v>
      </c>
      <c r="F34" s="61" cm="1">
        <f t="array" ref="F34">SUM(SUMIFS('MAIN DATA, Orders'!$M:$M,'MAIN DATA, Orders'!$C:$C,"Germany",'MAIN DATA, Orders'!$G:$G,{"Maintenance","Development - Maintenance","Modernisation","Development - Modernisation","Other","Development - Other"},'MAIN DATA, Orders'!$Q:$Q,$A34)/1000000000)</f>
        <v>0</v>
      </c>
    </row>
    <row r="35" spans="1:6">
      <c r="A35" s="72">
        <v>29</v>
      </c>
      <c r="B35" s="68">
        <v>44682</v>
      </c>
      <c r="C35" s="61" cm="1">
        <f t="array" ref="C35">SUM(SUMIFS('MAIN DATA, Orders'!$M:$M,'MAIN DATA, Orders'!$C:$C,"Germany",'MAIN DATA, Orders'!$G:$G,{"Aircraft","Development - Aircraft","Missile (Air)","Development - Missile (Air)"},'MAIN DATA, Orders'!$Q:$Q,$A35)/1000000000)</f>
        <v>0</v>
      </c>
      <c r="D35" s="61" cm="1">
        <f t="array" ref="D35">SUM(SUMIFS('MAIN DATA, Orders'!$M:$M,'MAIN DATA, Orders'!$C:$C,"Germany",'MAIN DATA, Orders'!$G:$G,{"Naval","Development - Naval","Missile (Naval)","Development - Missile (Naval)"},'MAIN DATA, Orders'!$Q:$Q,$A35)/1000000000)</f>
        <v>0</v>
      </c>
      <c r="E35" s="61" cm="1">
        <f t="array" ref="E35">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Orders'!$Q:$Q,$A35)/1000000000)</f>
        <v>0</v>
      </c>
      <c r="F35" s="61" cm="1">
        <f t="array" ref="F35">SUM(SUMIFS('MAIN DATA, Orders'!$M:$M,'MAIN DATA, Orders'!$C:$C,"Germany",'MAIN DATA, Orders'!$G:$G,{"Maintenance","Development - Maintenance","Modernisation","Development - Modernisation","Other","Development - Other"},'MAIN DATA, Orders'!$Q:$Q,$A35)/1000000000)</f>
        <v>2.5139</v>
      </c>
    </row>
    <row r="36" spans="1:6">
      <c r="A36" s="72">
        <v>30</v>
      </c>
      <c r="B36" s="68">
        <v>44713</v>
      </c>
      <c r="C36" s="61" cm="1">
        <f t="array" ref="C36">SUM(SUMIFS('MAIN DATA, Orders'!$M:$M,'MAIN DATA, Orders'!$C:$C,"Germany",'MAIN DATA, Orders'!$G:$G,{"Aircraft","Development - Aircraft","Missile (Air)","Development - Missile (Air)"},'MAIN DATA, Orders'!$Q:$Q,$A36)/1000000000)</f>
        <v>0</v>
      </c>
      <c r="D36" s="61" cm="1">
        <f t="array" ref="D36">SUM(SUMIFS('MAIN DATA, Orders'!$M:$M,'MAIN DATA, Orders'!$C:$C,"Germany",'MAIN DATA, Orders'!$G:$G,{"Naval","Development - Naval","Missile (Naval)","Development - Missile (Naval)"},'MAIN DATA, Orders'!$Q:$Q,$A36)/1000000000)</f>
        <v>3.5000000000000003E-2</v>
      </c>
      <c r="E36" s="61" cm="1">
        <f t="array" ref="E36">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Orders'!$Q:$Q,$A36)/1000000000)</f>
        <v>0</v>
      </c>
      <c r="F36" s="61" cm="1">
        <f t="array" ref="F36">SUM(SUMIFS('MAIN DATA, Orders'!$M:$M,'MAIN DATA, Orders'!$C:$C,"Germany",'MAIN DATA, Orders'!$G:$G,{"Maintenance","Development - Maintenance","Modernisation","Development - Modernisation","Other","Development - Other"},'MAIN DATA, Orders'!$Q:$Q,$A36)/1000000000)</f>
        <v>0.10100000000000001</v>
      </c>
    </row>
    <row r="37" spans="1:6">
      <c r="A37" s="72">
        <v>31</v>
      </c>
      <c r="B37" s="68">
        <v>44743</v>
      </c>
      <c r="C37" s="61" cm="1">
        <f t="array" ref="C37">SUM(SUMIFS('MAIN DATA, Orders'!$M:$M,'MAIN DATA, Orders'!$C:$C,"Germany",'MAIN DATA, Orders'!$G:$G,{"Aircraft","Development - Aircraft","Missile (Air)","Development - Missile (Air)"},'MAIN DATA, Orders'!$Q:$Q,$A37)/1000000000)</f>
        <v>0.24199999999999999</v>
      </c>
      <c r="D37" s="61" cm="1">
        <f t="array" ref="D37">SUM(SUMIFS('MAIN DATA, Orders'!$M:$M,'MAIN DATA, Orders'!$C:$C,"Germany",'MAIN DATA, Orders'!$G:$G,{"Naval","Development - Naval","Missile (Naval)","Development - Missile (Naval)"},'MAIN DATA, Orders'!$Q:$Q,$A37)/1000000000)</f>
        <v>0.34179999999999999</v>
      </c>
      <c r="E37" s="61" cm="1">
        <f t="array" ref="E37">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Orders'!$Q:$Q,$A37)/1000000000)</f>
        <v>4.2099999999999999E-2</v>
      </c>
      <c r="F37" s="61" cm="1">
        <f t="array" ref="F37">SUM(SUMIFS('MAIN DATA, Orders'!$M:$M,'MAIN DATA, Orders'!$C:$C,"Germany",'MAIN DATA, Orders'!$G:$G,{"Maintenance","Development - Maintenance","Modernisation","Development - Modernisation","Other","Development - Other"},'MAIN DATA, Orders'!$Q:$Q,$A37)/1000000000)</f>
        <v>6.89</v>
      </c>
    </row>
    <row r="38" spans="1:6">
      <c r="A38" s="72">
        <v>32</v>
      </c>
      <c r="B38" s="68">
        <v>44774</v>
      </c>
      <c r="C38" s="61" cm="1">
        <f t="array" ref="C38">SUM(SUMIFS('MAIN DATA, Orders'!$M:$M,'MAIN DATA, Orders'!$C:$C,"Germany",'MAIN DATA, Orders'!$G:$G,{"Aircraft","Development - Aircraft","Missile (Air)","Development - Missile (Air)"},'MAIN DATA, Orders'!$Q:$Q,$A38)/1000000000)</f>
        <v>0</v>
      </c>
      <c r="D38" s="61" cm="1">
        <f t="array" ref="D38">SUM(SUMIFS('MAIN DATA, Orders'!$M:$M,'MAIN DATA, Orders'!$C:$C,"Germany",'MAIN DATA, Orders'!$G:$G,{"Naval","Development - Naval","Missile (Naval)","Development - Missile (Naval)"},'MAIN DATA, Orders'!$Q:$Q,$A38)/1000000000)</f>
        <v>0</v>
      </c>
      <c r="E38" s="61" cm="1">
        <f t="array" ref="E38">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Orders'!$Q:$Q,$A38)/1000000000)</f>
        <v>0</v>
      </c>
      <c r="F38" s="61" cm="1">
        <f t="array" ref="F38">SUM(SUMIFS('MAIN DATA, Orders'!$M:$M,'MAIN DATA, Orders'!$C:$C,"Germany",'MAIN DATA, Orders'!$G:$G,{"Maintenance","Development - Maintenance","Modernisation","Development - Modernisation","Other","Development - Other"},'MAIN DATA, Orders'!$Q:$Q,$A38)/1000000000)</f>
        <v>0</v>
      </c>
    </row>
    <row r="39" spans="1:6">
      <c r="A39" s="72">
        <v>33</v>
      </c>
      <c r="B39" s="68">
        <v>44805</v>
      </c>
      <c r="C39" s="61" cm="1">
        <f t="array" ref="C39">SUM(SUMIFS('MAIN DATA, Orders'!$M:$M,'MAIN DATA, Orders'!$C:$C,"Germany",'MAIN DATA, Orders'!$G:$G,{"Aircraft","Development - Aircraft","Missile (Air)","Development - Missile (Air)"},'MAIN DATA, Orders'!$Q:$Q,$A39)/1000000000)</f>
        <v>0</v>
      </c>
      <c r="D39" s="61" cm="1">
        <f t="array" ref="D39">SUM(SUMIFS('MAIN DATA, Orders'!$M:$M,'MAIN DATA, Orders'!$C:$C,"Germany",'MAIN DATA, Orders'!$G:$G,{"Naval","Development - Naval","Missile (Naval)","Development - Missile (Naval)"},'MAIN DATA, Orders'!$Q:$Q,$A39)/1000000000)</f>
        <v>0.63700000000000001</v>
      </c>
      <c r="E39" s="61" cm="1">
        <f t="array" ref="E39">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Orders'!$Q:$Q,$A39)/1000000000)</f>
        <v>0</v>
      </c>
      <c r="F39" s="61" cm="1">
        <f t="array" ref="F39">SUM(SUMIFS('MAIN DATA, Orders'!$M:$M,'MAIN DATA, Orders'!$C:$C,"Germany",'MAIN DATA, Orders'!$G:$G,{"Maintenance","Development - Maintenance","Modernisation","Development - Modernisation","Other","Development - Other"},'MAIN DATA, Orders'!$Q:$Q,$A39)/1000000000)</f>
        <v>0</v>
      </c>
    </row>
    <row r="40" spans="1:6">
      <c r="A40" s="72">
        <v>34</v>
      </c>
      <c r="B40" s="68">
        <v>44835</v>
      </c>
      <c r="C40" s="61" cm="1">
        <f t="array" ref="C40">SUM(SUMIFS('MAIN DATA, Orders'!$M:$M,'MAIN DATA, Orders'!$C:$C,"Germany",'MAIN DATA, Orders'!$G:$G,{"Aircraft","Development - Aircraft","Missile (Air)","Development - Missile (Air)"},'MAIN DATA, Orders'!$Q:$Q,$A40)/1000000000)</f>
        <v>0</v>
      </c>
      <c r="D40" s="61" cm="1">
        <f t="array" ref="D40">SUM(SUMIFS('MAIN DATA, Orders'!$M:$M,'MAIN DATA, Orders'!$C:$C,"Germany",'MAIN DATA, Orders'!$G:$G,{"Naval","Development - Naval","Missile (Naval)","Development - Missile (Naval)"},'MAIN DATA, Orders'!$Q:$Q,$A40)/1000000000)</f>
        <v>0</v>
      </c>
      <c r="E40" s="61" cm="1">
        <f t="array" ref="E40">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Orders'!$Q:$Q,$A40)/1000000000)</f>
        <v>9.74E-2</v>
      </c>
      <c r="F40" s="61" cm="1">
        <f t="array" ref="F40">SUM(SUMIFS('MAIN DATA, Orders'!$M:$M,'MAIN DATA, Orders'!$C:$C,"Germany",'MAIN DATA, Orders'!$G:$G,{"Maintenance","Development - Maintenance","Modernisation","Development - Modernisation","Other","Development - Other"},'MAIN DATA, Orders'!$Q:$Q,$A40)/1000000000)</f>
        <v>7.4999999999999997E-3</v>
      </c>
    </row>
    <row r="41" spans="1:6">
      <c r="A41" s="72">
        <v>35</v>
      </c>
      <c r="B41" s="68">
        <v>44866</v>
      </c>
      <c r="C41" s="61" cm="1">
        <f t="array" ref="C41">SUM(SUMIFS('MAIN DATA, Orders'!$M:$M,'MAIN DATA, Orders'!$C:$C,"Germany",'MAIN DATA, Orders'!$G:$G,{"Aircraft","Development - Aircraft","Missile (Air)","Development - Missile (Air)"},'MAIN DATA, Orders'!$Q:$Q,$A41)/1000000000)</f>
        <v>0</v>
      </c>
      <c r="D41" s="61" cm="1">
        <f t="array" ref="D41">SUM(SUMIFS('MAIN DATA, Orders'!$M:$M,'MAIN DATA, Orders'!$C:$C,"Germany",'MAIN DATA, Orders'!$G:$G,{"Naval","Development - Naval","Missile (Naval)","Development - Missile (Naval)"},'MAIN DATA, Orders'!$Q:$Q,$A41)/1000000000)</f>
        <v>0</v>
      </c>
      <c r="E41" s="61" cm="1">
        <f t="array" ref="E41">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Orders'!$Q:$Q,$A41)/1000000000)</f>
        <v>0</v>
      </c>
      <c r="F41" s="61" cm="1">
        <f t="array" ref="F41">SUM(SUMIFS('MAIN DATA, Orders'!$M:$M,'MAIN DATA, Orders'!$C:$C,"Germany",'MAIN DATA, Orders'!$G:$G,{"Maintenance","Development - Maintenance","Modernisation","Development - Modernisation","Other","Development - Other"},'MAIN DATA, Orders'!$Q:$Q,$A41)/1000000000)</f>
        <v>0.15545</v>
      </c>
    </row>
    <row r="42" spans="1:6">
      <c r="A42" s="72">
        <v>36</v>
      </c>
      <c r="B42" s="68">
        <v>44896</v>
      </c>
      <c r="C42" s="61" cm="1">
        <f t="array" ref="C42">SUM(SUMIFS('MAIN DATA, Orders'!$M:$M,'MAIN DATA, Orders'!$C:$C,"Germany",'MAIN DATA, Orders'!$G:$G,{"Aircraft","Development - Aircraft","Missile (Air)","Development - Missile (Air)"},'MAIN DATA, Orders'!$Q:$Q,$A42)/1000000000)</f>
        <v>8.3000000000000007</v>
      </c>
      <c r="D42" s="61" cm="1">
        <f t="array" ref="D42">SUM(SUMIFS('MAIN DATA, Orders'!$M:$M,'MAIN DATA, Orders'!$C:$C,"Germany",'MAIN DATA, Orders'!$G:$G,{"Naval","Development - Naval","Missile (Naval)","Development - Missile (Naval)"},'MAIN DATA, Orders'!$Q:$Q,$A42)/1000000000)</f>
        <v>0</v>
      </c>
      <c r="E42" s="61" cm="1">
        <f t="array" ref="E42">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Orders'!$Q:$Q,$A42)/1000000000)</f>
        <v>1.464</v>
      </c>
      <c r="F42" s="61" cm="1">
        <f t="array" ref="F42">SUM(SUMIFS('MAIN DATA, Orders'!$M:$M,'MAIN DATA, Orders'!$C:$C,"Germany",'MAIN DATA, Orders'!$G:$G,{"Maintenance","Development - Maintenance","Modernisation","Development - Modernisation","Other","Development - Other"},'MAIN DATA, Orders'!$Q:$Q,$A42)/1000000000)</f>
        <v>0.12</v>
      </c>
    </row>
    <row r="43" spans="1:6">
      <c r="A43" s="72">
        <v>37</v>
      </c>
      <c r="B43" s="68">
        <v>44927</v>
      </c>
      <c r="C43" s="61" cm="1">
        <f t="array" ref="C43">SUM(SUMIFS('MAIN DATA, Orders'!$M:$M,'MAIN DATA, Orders'!$C:$C,"Germany",'MAIN DATA, Orders'!$G:$G,{"Aircraft","Development - Aircraft","Missile (Air)","Development - Missile (Air)"},'MAIN DATA, Orders'!$Q:$Q,$A43)/1000000000)</f>
        <v>0</v>
      </c>
      <c r="D43" s="61" cm="1">
        <f t="array" ref="D43">SUM(SUMIFS('MAIN DATA, Orders'!$M:$M,'MAIN DATA, Orders'!$C:$C,"Germany",'MAIN DATA, Orders'!$G:$G,{"Naval","Development - Naval","Missile (Naval)","Development - Missile (Naval)"},'MAIN DATA, Orders'!$Q:$Q,$A43)/1000000000)</f>
        <v>0</v>
      </c>
      <c r="E43" s="61" cm="1">
        <f t="array" ref="E43">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Orders'!$Q:$Q,$A43)/1000000000)</f>
        <v>0</v>
      </c>
      <c r="F43" s="61" cm="1">
        <f t="array" ref="F43">SUM(SUMIFS('MAIN DATA, Orders'!$M:$M,'MAIN DATA, Orders'!$C:$C,"Germany",'MAIN DATA, Orders'!$G:$G,{"Maintenance","Development - Maintenance","Modernisation","Development - Modernisation","Other","Development - Other"},'MAIN DATA, Orders'!$Q:$Q,$A43)/1000000000)</f>
        <v>0</v>
      </c>
    </row>
    <row r="44" spans="1:6">
      <c r="A44" s="72">
        <v>38</v>
      </c>
      <c r="B44" s="68">
        <v>44958</v>
      </c>
      <c r="C44" s="61" cm="1">
        <f t="array" ref="C44">SUM(SUMIFS('MAIN DATA, Orders'!$M:$M,'MAIN DATA, Orders'!$C:$C,"Germany",'MAIN DATA, Orders'!$G:$G,{"Aircraft","Development - Aircraft","Missile (Air)","Development - Missile (Air)"},'MAIN DATA, Orders'!$Q:$Q,$A44)/1000000000)</f>
        <v>0</v>
      </c>
      <c r="D44" s="61" cm="1">
        <f t="array" ref="D44">SUM(SUMIFS('MAIN DATA, Orders'!$M:$M,'MAIN DATA, Orders'!$C:$C,"Germany",'MAIN DATA, Orders'!$G:$G,{"Naval","Development - Naval","Missile (Naval)","Development - Missile (Naval)"},'MAIN DATA, Orders'!$Q:$Q,$A44)/1000000000)</f>
        <v>0</v>
      </c>
      <c r="E44" s="61" cm="1">
        <f t="array" ref="E44">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Orders'!$Q:$Q,$A44)/1000000000)</f>
        <v>0.16800000000000001</v>
      </c>
      <c r="F44" s="61" cm="1">
        <f t="array" ref="F44">SUM(SUMIFS('MAIN DATA, Orders'!$M:$M,'MAIN DATA, Orders'!$C:$C,"Germany",'MAIN DATA, Orders'!$G:$G,{"Maintenance","Development - Maintenance","Modernisation","Development - Modernisation","Other","Development - Other"},'MAIN DATA, Orders'!$Q:$Q,$A44)/1000000000)</f>
        <v>5.28E-2</v>
      </c>
    </row>
    <row r="45" spans="1:6">
      <c r="A45" s="72">
        <v>39</v>
      </c>
      <c r="B45" s="68">
        <v>44986</v>
      </c>
      <c r="C45" s="61" cm="1">
        <f t="array" ref="C45">SUM(SUMIFS('MAIN DATA, Orders'!$M:$M,'MAIN DATA, Orders'!$C:$C,"Germany",'MAIN DATA, Orders'!$G:$G,{"Aircraft","Development - Aircraft","Missile (Air)","Development - Missile (Air)"},'MAIN DATA, Orders'!$Q:$Q,$A45)/1000000000)</f>
        <v>0</v>
      </c>
      <c r="D45" s="61" cm="1">
        <f t="array" ref="D45">SUM(SUMIFS('MAIN DATA, Orders'!$M:$M,'MAIN DATA, Orders'!$C:$C,"Germany",'MAIN DATA, Orders'!$G:$G,{"Naval","Development - Naval","Missile (Naval)","Development - Missile (Naval)"},'MAIN DATA, Orders'!$Q:$Q,$A45)/1000000000)</f>
        <v>4.2000000000000003E-2</v>
      </c>
      <c r="E45" s="61" cm="1">
        <f t="array" ref="E45">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Orders'!$Q:$Q,$A45)/1000000000)</f>
        <v>1.2991999999999999</v>
      </c>
      <c r="F45" s="61" cm="1">
        <f t="array" ref="F45">SUM(SUMIFS('MAIN DATA, Orders'!$M:$M,'MAIN DATA, Orders'!$C:$C,"Germany",'MAIN DATA, Orders'!$G:$G,{"Maintenance","Development - Maintenance","Modernisation","Development - Modernisation","Other","Development - Other"},'MAIN DATA, Orders'!$Q:$Q,$A45)/1000000000)</f>
        <v>3.32E-2</v>
      </c>
    </row>
    <row r="46" spans="1:6">
      <c r="A46" s="72">
        <v>40</v>
      </c>
      <c r="B46" s="68">
        <v>45017</v>
      </c>
      <c r="C46" s="61" cm="1">
        <f t="array" ref="C46">SUM(SUMIFS('MAIN DATA, Orders'!$M:$M,'MAIN DATA, Orders'!$C:$C,"Germany",'MAIN DATA, Orders'!$G:$G,{"Aircraft","Development - Aircraft","Missile (Air)","Development - Missile (Air)"},'MAIN DATA, Orders'!$Q:$Q,$A46)/1000000000)</f>
        <v>0</v>
      </c>
      <c r="D46" s="61" cm="1">
        <f t="array" ref="D46">SUM(SUMIFS('MAIN DATA, Orders'!$M:$M,'MAIN DATA, Orders'!$C:$C,"Germany",'MAIN DATA, Orders'!$G:$G,{"Naval","Development - Naval","Missile (Naval)","Development - Missile (Naval)"},'MAIN DATA, Orders'!$Q:$Q,$A46)/1000000000)</f>
        <v>0.26900000000000002</v>
      </c>
      <c r="E46" s="61" cm="1">
        <f t="array" ref="E46">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Orders'!$Q:$Q,$A46)/1000000000)</f>
        <v>0</v>
      </c>
      <c r="F46" s="61" cm="1">
        <f t="array" ref="F46">SUM(SUMIFS('MAIN DATA, Orders'!$M:$M,'MAIN DATA, Orders'!$C:$C,"Germany",'MAIN DATA, Orders'!$G:$G,{"Maintenance","Development - Maintenance","Modernisation","Development - Modernisation","Other","Development - Other"},'MAIN DATA, Orders'!$Q:$Q,$A46)/1000000000)</f>
        <v>0.498</v>
      </c>
    </row>
    <row r="47" spans="1:6">
      <c r="A47" s="72">
        <v>41</v>
      </c>
      <c r="B47" s="68">
        <v>45047</v>
      </c>
      <c r="C47" s="61" cm="1">
        <f t="array" ref="C47">SUM(SUMIFS('MAIN DATA, Orders'!$M:$M,'MAIN DATA, Orders'!$C:$C,"Germany",'MAIN DATA, Orders'!$G:$G,{"Aircraft","Development - Aircraft","Missile (Air)","Development - Missile (Air)"},'MAIN DATA, Orders'!$Q:$Q,$A47)/1000000000)</f>
        <v>0</v>
      </c>
      <c r="D47" s="61" cm="1">
        <f t="array" ref="D47">SUM(SUMIFS('MAIN DATA, Orders'!$M:$M,'MAIN DATA, Orders'!$C:$C,"Germany",'MAIN DATA, Orders'!$G:$G,{"Naval","Development - Naval","Missile (Naval)","Development - Missile (Naval)"},'MAIN DATA, Orders'!$Q:$Q,$A47)/1000000000)</f>
        <v>0.18</v>
      </c>
      <c r="E47" s="61" cm="1">
        <f t="array" ref="E47">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Orders'!$Q:$Q,$A47)/1000000000)</f>
        <v>1.8033000000000001</v>
      </c>
      <c r="F47" s="61" cm="1">
        <f t="array" ref="F47">SUM(SUMIFS('MAIN DATA, Orders'!$M:$M,'MAIN DATA, Orders'!$C:$C,"Germany",'MAIN DATA, Orders'!$G:$G,{"Maintenance","Development - Maintenance","Modernisation","Development - Modernisation","Other","Development - Other"},'MAIN DATA, Orders'!$Q:$Q,$A47)/1000000000)</f>
        <v>3.2000000000000001E-2</v>
      </c>
    </row>
    <row r="48" spans="1:6">
      <c r="A48" s="72">
        <v>42</v>
      </c>
      <c r="B48" s="68">
        <v>45078</v>
      </c>
      <c r="C48" s="61" cm="1">
        <f t="array" ref="C48">SUM(SUMIFS('MAIN DATA, Orders'!$M:$M,'MAIN DATA, Orders'!$C:$C,"Germany",'MAIN DATA, Orders'!$G:$G,{"Aircraft","Development - Aircraft","Missile (Air)","Development - Missile (Air)"},'MAIN DATA, Orders'!$Q:$Q,$A48)/1000000000)</f>
        <v>0</v>
      </c>
      <c r="D48" s="61" cm="1">
        <f t="array" ref="D48">SUM(SUMIFS('MAIN DATA, Orders'!$M:$M,'MAIN DATA, Orders'!$C:$C,"Germany",'MAIN DATA, Orders'!$G:$G,{"Naval","Development - Naval","Missile (Naval)","Development - Missile (Naval)"},'MAIN DATA, Orders'!$Q:$Q,$A48)/1000000000)</f>
        <v>0</v>
      </c>
      <c r="E48" s="61" cm="1">
        <f t="array" ref="E48">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Orders'!$Q:$Q,$A48)/1000000000)</f>
        <v>0.95</v>
      </c>
      <c r="F48" s="61" cm="1">
        <f t="array" ref="F48">SUM(SUMIFS('MAIN DATA, Orders'!$M:$M,'MAIN DATA, Orders'!$C:$C,"Germany",'MAIN DATA, Orders'!$G:$G,{"Maintenance","Development - Maintenance","Modernisation","Development - Modernisation","Other","Development - Other"},'MAIN DATA, Orders'!$Q:$Q,$A48)/1000000000)</f>
        <v>0.9032</v>
      </c>
    </row>
    <row r="49" spans="1:6">
      <c r="A49" s="72">
        <v>43</v>
      </c>
      <c r="B49" s="68">
        <v>45108</v>
      </c>
      <c r="C49" s="61" cm="1">
        <f t="array" ref="C49">SUM(SUMIFS('MAIN DATA, Orders'!$M:$M,'MAIN DATA, Orders'!$C:$C,"Germany",'MAIN DATA, Orders'!$G:$G,{"Aircraft","Development - Aircraft","Missile (Air)","Development - Missile (Air)"},'MAIN DATA, Orders'!$Q:$Q,$A49)/1000000000)</f>
        <v>0</v>
      </c>
      <c r="D49" s="61" cm="1">
        <f t="array" ref="D49">SUM(SUMIFS('MAIN DATA, Orders'!$M:$M,'MAIN DATA, Orders'!$C:$C,"Germany",'MAIN DATA, Orders'!$G:$G,{"Naval","Development - Naval","Missile (Naval)","Development - Missile (Naval)"},'MAIN DATA, Orders'!$Q:$Q,$A49)/1000000000)</f>
        <v>1.1599999999999999</v>
      </c>
      <c r="E49" s="61" cm="1">
        <f t="array" ref="E49">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Orders'!$Q:$Q,$A49)/1000000000)</f>
        <v>8.5849000000000011</v>
      </c>
      <c r="F49" s="61" cm="1">
        <f t="array" ref="F49">SUM(SUMIFS('MAIN DATA, Orders'!$M:$M,'MAIN DATA, Orders'!$C:$C,"Germany",'MAIN DATA, Orders'!$G:$G,{"Maintenance","Development - Maintenance","Modernisation","Development - Modernisation","Other","Development - Other"},'MAIN DATA, Orders'!$Q:$Q,$A49)/1000000000)</f>
        <v>0</v>
      </c>
    </row>
    <row r="50" spans="1:6">
      <c r="A50" s="72">
        <v>44</v>
      </c>
      <c r="B50" s="68">
        <v>45139</v>
      </c>
      <c r="C50" s="61" cm="1">
        <f t="array" ref="C50">SUM(SUMIFS('MAIN DATA, Orders'!$M:$M,'MAIN DATA, Orders'!$C:$C,"Germany",'MAIN DATA, Orders'!$G:$G,{"Aircraft","Development - Aircraft","Missile (Air)","Development - Missile (Air)"},'MAIN DATA, Orders'!$Q:$Q,$A50)/1000000000)</f>
        <v>0</v>
      </c>
      <c r="D50" s="61" cm="1">
        <f t="array" ref="D50">SUM(SUMIFS('MAIN DATA, Orders'!$M:$M,'MAIN DATA, Orders'!$C:$C,"Germany",'MAIN DATA, Orders'!$G:$G,{"Naval","Development - Naval","Missile (Naval)","Development - Missile (Naval)"},'MAIN DATA, Orders'!$Q:$Q,$A50)/1000000000)</f>
        <v>0</v>
      </c>
      <c r="E50" s="61" cm="1">
        <f t="array" ref="E50">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Orders'!$Q:$Q,$A50)/1000000000)</f>
        <v>0</v>
      </c>
      <c r="F50" s="61" cm="1">
        <f t="array" ref="F50">SUM(SUMIFS('MAIN DATA, Orders'!$M:$M,'MAIN DATA, Orders'!$C:$C,"Germany",'MAIN DATA, Orders'!$G:$G,{"Maintenance","Development - Maintenance","Modernisation","Development - Modernisation","Other","Development - Other"},'MAIN DATA, Orders'!$Q:$Q,$A50)/1000000000)</f>
        <v>0</v>
      </c>
    </row>
    <row r="51" spans="1:6">
      <c r="A51" s="72">
        <v>45</v>
      </c>
      <c r="B51" s="68">
        <v>45170</v>
      </c>
      <c r="C51" s="61" cm="1">
        <f t="array" ref="C51">SUM(SUMIFS('MAIN DATA, Orders'!$M:$M,'MAIN DATA, Orders'!$C:$C,"Germany",'MAIN DATA, Orders'!$G:$G,{"Aircraft","Development - Aircraft","Missile (Air)","Development - Missile (Air)"},'MAIN DATA, Orders'!$Q:$Q,$A51)/1000000000)</f>
        <v>0.19769999999999999</v>
      </c>
      <c r="D51" s="61" cm="1">
        <f t="array" ref="D51">SUM(SUMIFS('MAIN DATA, Orders'!$M:$M,'MAIN DATA, Orders'!$C:$C,"Germany",'MAIN DATA, Orders'!$G:$G,{"Naval","Development - Naval","Missile (Naval)","Development - Missile (Naval)"},'MAIN DATA, Orders'!$Q:$Q,$A51)/1000000000)</f>
        <v>0</v>
      </c>
      <c r="E51" s="61" cm="1">
        <f t="array" ref="E51">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Orders'!$Q:$Q,$A51)/1000000000)</f>
        <v>0.23860000000000001</v>
      </c>
      <c r="F51" s="61" cm="1">
        <f t="array" ref="F51">SUM(SUMIFS('MAIN DATA, Orders'!$M:$M,'MAIN DATA, Orders'!$C:$C,"Germany",'MAIN DATA, Orders'!$G:$G,{"Maintenance","Development - Maintenance","Modernisation","Development - Modernisation","Other","Development - Other"},'MAIN DATA, Orders'!$Q:$Q,$A51)/1000000000)</f>
        <v>0</v>
      </c>
    </row>
    <row r="52" spans="1:6">
      <c r="A52" s="72">
        <v>46</v>
      </c>
      <c r="B52" s="68">
        <v>45200</v>
      </c>
      <c r="C52" s="61" cm="1">
        <f t="array" ref="C52">SUM(SUMIFS('MAIN DATA, Orders'!$M:$M,'MAIN DATA, Orders'!$C:$C,"Germany",'MAIN DATA, Orders'!$G:$G,{"Aircraft","Development - Aircraft","Missile (Air)","Development - Missile (Air)"},'MAIN DATA, Orders'!$Q:$Q,$A52)/1000000000)</f>
        <v>0</v>
      </c>
      <c r="D52" s="61" cm="1">
        <f t="array" ref="D52">SUM(SUMIFS('MAIN DATA, Orders'!$M:$M,'MAIN DATA, Orders'!$C:$C,"Germany",'MAIN DATA, Orders'!$G:$G,{"Naval","Development - Naval","Missile (Naval)","Development - Missile (Naval)"},'MAIN DATA, Orders'!$Q:$Q,$A52)/1000000000)</f>
        <v>0</v>
      </c>
      <c r="E52" s="61" cm="1">
        <f t="array" ref="E52">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Orders'!$Q:$Q,$A52)/1000000000)</f>
        <v>4.1609999999999996</v>
      </c>
      <c r="F52" s="61" cm="1">
        <f t="array" ref="F52">SUM(SUMIFS('MAIN DATA, Orders'!$M:$M,'MAIN DATA, Orders'!$C:$C,"Germany",'MAIN DATA, Orders'!$G:$G,{"Maintenance","Development - Maintenance","Modernisation","Development - Modernisation","Other","Development - Other"},'MAIN DATA, Orders'!$Q:$Q,$A52)/1000000000)</f>
        <v>0.2515</v>
      </c>
    </row>
    <row r="53" spans="1:6">
      <c r="A53" s="72">
        <v>47</v>
      </c>
      <c r="B53" s="68">
        <v>45231</v>
      </c>
      <c r="C53" s="61" cm="1">
        <f t="array" ref="C53">SUM(SUMIFS('MAIN DATA, Orders'!$M:$M,'MAIN DATA, Orders'!$C:$C,"Germany",'MAIN DATA, Orders'!$G:$G,{"Aircraft","Development - Aircraft","Missile (Air)","Development - Missile (Air)"},'MAIN DATA, Orders'!$Q:$Q,$A53)/1000000000)</f>
        <v>4.9299999999999997E-2</v>
      </c>
      <c r="D53" s="61" cm="1">
        <f t="array" ref="D53">SUM(SUMIFS('MAIN DATA, Orders'!$M:$M,'MAIN DATA, Orders'!$C:$C,"Germany",'MAIN DATA, Orders'!$G:$G,{"Naval","Development - Naval","Missile (Naval)","Development - Missile (Naval)"},'MAIN DATA, Orders'!$Q:$Q,$A53)/1000000000)</f>
        <v>1.1000000000000001</v>
      </c>
      <c r="E53" s="61" cm="1">
        <f t="array" ref="E53">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Orders'!$Q:$Q,$A53)/1000000000)</f>
        <v>0.40100000000000002</v>
      </c>
      <c r="F53" s="61" cm="1">
        <f t="array" ref="F53">SUM(SUMIFS('MAIN DATA, Orders'!$M:$M,'MAIN DATA, Orders'!$C:$C,"Germany",'MAIN DATA, Orders'!$G:$G,{"Maintenance","Development - Maintenance","Modernisation","Development - Modernisation","Other","Development - Other"},'MAIN DATA, Orders'!$Q:$Q,$A53)/1000000000)</f>
        <v>13.4</v>
      </c>
    </row>
    <row r="54" spans="1:6">
      <c r="A54" s="72">
        <v>48</v>
      </c>
      <c r="B54" s="68">
        <v>45261</v>
      </c>
      <c r="C54" s="61" cm="1">
        <f t="array" ref="C54">SUM(SUMIFS('MAIN DATA, Orders'!$M:$M,'MAIN DATA, Orders'!$C:$C,"Germany",'MAIN DATA, Orders'!$G:$G,{"Aircraft","Development - Aircraft","Missile (Air)","Development - Missile (Air)"},'MAIN DATA, Orders'!$Q:$Q,$A54)/1000000000)</f>
        <v>0.1429</v>
      </c>
      <c r="D54" s="61" cm="1">
        <f t="array" ref="D54">SUM(SUMIFS('MAIN DATA, Orders'!$M:$M,'MAIN DATA, Orders'!$C:$C,"Germany",'MAIN DATA, Orders'!$G:$G,{"Naval","Development - Naval","Missile (Naval)","Development - Missile (Naval)"},'MAIN DATA, Orders'!$Q:$Q,$A54)/1000000000)</f>
        <v>9.98E-2</v>
      </c>
      <c r="E54" s="61" cm="1">
        <f t="array" ref="E54">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Orders'!$Q:$Q,$A54)/1000000000)</f>
        <v>5.9740000000000002</v>
      </c>
      <c r="F54" s="61" cm="1">
        <f t="array" ref="F54">SUM(SUMIFS('MAIN DATA, Orders'!$M:$M,'MAIN DATA, Orders'!$C:$C,"Germany",'MAIN DATA, Orders'!$G:$G,{"Maintenance","Development - Maintenance","Modernisation","Development - Modernisation","Other","Development - Other"},'MAIN DATA, Orders'!$Q:$Q,$A54)/1000000000)</f>
        <v>3.4779999999999998E-2</v>
      </c>
    </row>
    <row r="55" spans="1:6">
      <c r="A55" s="72">
        <v>49</v>
      </c>
      <c r="B55" s="68">
        <v>45292</v>
      </c>
      <c r="C55" s="61" cm="1">
        <f t="array" ref="C55">SUM(SUMIFS('MAIN DATA, Orders'!$M:$M,'MAIN DATA, Orders'!$C:$C,"Germany",'MAIN DATA, Orders'!$G:$G,{"Aircraft","Development - Aircraft","Missile (Air)","Development - Missile (Air)"},'MAIN DATA, Orders'!$Q:$Q,$A55)/1000000000)</f>
        <v>0</v>
      </c>
      <c r="D55" s="61" cm="1">
        <f t="array" ref="D55">SUM(SUMIFS('MAIN DATA, Orders'!$M:$M,'MAIN DATA, Orders'!$C:$C,"Germany",'MAIN DATA, Orders'!$G:$G,{"Naval","Development - Naval","Missile (Naval)","Development - Missile (Naval)"},'MAIN DATA, Orders'!$Q:$Q,$A55)/1000000000)</f>
        <v>0</v>
      </c>
      <c r="E55" s="61" cm="1">
        <f t="array" ref="E55">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Orders'!$Q:$Q,$A55)/1000000000)</f>
        <v>1.23</v>
      </c>
      <c r="F55" s="61" cm="1">
        <f t="array" ref="F55">SUM(SUMIFS('MAIN DATA, Orders'!$M:$M,'MAIN DATA, Orders'!$C:$C,"Germany",'MAIN DATA, Orders'!$G:$G,{"Maintenance","Development - Maintenance","Modernisation","Development - Modernisation","Other","Development - Other"},'MAIN DATA, Orders'!$Q:$Q,$A55)/1000000000)</f>
        <v>0</v>
      </c>
    </row>
    <row r="56" spans="1:6">
      <c r="A56" s="72">
        <v>50</v>
      </c>
      <c r="B56" s="68">
        <v>45323</v>
      </c>
      <c r="C56" s="61" cm="1">
        <f t="array" ref="C56">SUM(SUMIFS('MAIN DATA, Orders'!$M:$M,'MAIN DATA, Orders'!$C:$C,"Germany",'MAIN DATA, Orders'!$G:$G,{"Aircraft","Development - Aircraft","Missile (Air)","Development - Missile (Air)"},'MAIN DATA, Orders'!$Q:$Q,$A56)/1000000000)</f>
        <v>0</v>
      </c>
      <c r="D56" s="61" cm="1">
        <f t="array" ref="D56">SUM(SUMIFS('MAIN DATA, Orders'!$M:$M,'MAIN DATA, Orders'!$C:$C,"Germany",'MAIN DATA, Orders'!$G:$G,{"Naval","Development - Naval","Missile (Naval)","Development - Missile (Naval)"},'MAIN DATA, Orders'!$Q:$Q,$A56)/1000000000)</f>
        <v>0</v>
      </c>
      <c r="E56" s="61" cm="1">
        <f t="array" ref="E56">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Orders'!$Q:$Q,$A56)/1000000000)</f>
        <v>0.64900000000000002</v>
      </c>
      <c r="F56" s="61" cm="1">
        <f t="array" ref="F56">SUM(SUMIFS('MAIN DATA, Orders'!$M:$M,'MAIN DATA, Orders'!$C:$C,"Germany",'MAIN DATA, Orders'!$G:$G,{"Maintenance","Development - Maintenance","Modernisation","Development - Modernisation","Other","Development - Other"},'MAIN DATA, Orders'!$Q:$Q,$A56)/1000000000)</f>
        <v>2.2000000000000002</v>
      </c>
    </row>
    <row r="57" spans="1:6">
      <c r="A57" s="72">
        <v>51</v>
      </c>
      <c r="B57" s="68">
        <v>45352</v>
      </c>
      <c r="C57" s="61" cm="1">
        <f t="array" ref="C57">SUM(SUMIFS('MAIN DATA, Orders'!$M:$M,'MAIN DATA, Orders'!$C:$C,"Germany",'MAIN DATA, Orders'!$G:$G,{"Aircraft","Development - Aircraft","Missile (Air)","Development - Missile (Air)"},'MAIN DATA, Orders'!$Q:$Q,$A57)/1000000000)</f>
        <v>0.10199999999999999</v>
      </c>
      <c r="D57" s="61" cm="1">
        <f t="array" ref="D57">SUM(SUMIFS('MAIN DATA, Orders'!$M:$M,'MAIN DATA, Orders'!$C:$C,"Germany",'MAIN DATA, Orders'!$G:$G,{"Naval","Development - Naval","Missile (Naval)","Development - Missile (Naval)"},'MAIN DATA, Orders'!$Q:$Q,$A57)/1000000000)</f>
        <v>0</v>
      </c>
      <c r="E57" s="61" cm="1">
        <f t="array" ref="E57">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Orders'!$Q:$Q,$A57)/1000000000)</f>
        <v>3.34</v>
      </c>
      <c r="F57" s="61" cm="1">
        <f t="array" ref="F57">SUM(SUMIFS('MAIN DATA, Orders'!$M:$M,'MAIN DATA, Orders'!$C:$C,"Germany",'MAIN DATA, Orders'!$G:$G,{"Maintenance","Development - Maintenance","Modernisation","Development - Modernisation","Other","Development - Other"},'MAIN DATA, Orders'!$Q:$Q,$A57)/1000000000)</f>
        <v>0.9899</v>
      </c>
    </row>
    <row r="58" spans="1:6">
      <c r="A58" s="72">
        <v>52</v>
      </c>
      <c r="B58" s="68">
        <v>45383</v>
      </c>
      <c r="C58" s="61" cm="1">
        <f t="array" ref="C58">SUM(SUMIFS('MAIN DATA, Orders'!$M:$M,'MAIN DATA, Orders'!$C:$C,"Germany",'MAIN DATA, Orders'!$G:$G,{"Aircraft","Development - Aircraft","Missile (Air)","Development - Missile (Air)"},'MAIN DATA, Orders'!$Q:$Q,$A58)/1000000000)</f>
        <v>0.14000000000000001</v>
      </c>
      <c r="D58" s="61" cm="1">
        <f t="array" ref="D58">SUM(SUMIFS('MAIN DATA, Orders'!$M:$M,'MAIN DATA, Orders'!$C:$C,"Germany",'MAIN DATA, Orders'!$G:$G,{"Naval","Development - Naval","Missile (Naval)","Development - Missile (Naval)"},'MAIN DATA, Orders'!$Q:$Q,$A58)/1000000000)</f>
        <v>0</v>
      </c>
      <c r="E58" s="61" cm="1">
        <f t="array" ref="E58">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Orders'!$Q:$Q,$A58)/1000000000)</f>
        <v>0.44700000000000001</v>
      </c>
      <c r="F58" s="61" cm="1">
        <f t="array" ref="F58">SUM(SUMIFS('MAIN DATA, Orders'!$M:$M,'MAIN DATA, Orders'!$C:$C,"Germany",'MAIN DATA, Orders'!$G:$G,{"Maintenance","Development - Maintenance","Modernisation","Development - Modernisation","Other","Development - Other"},'MAIN DATA, Orders'!$Q:$Q,$A58)/1000000000)</f>
        <v>0</v>
      </c>
    </row>
    <row r="59" spans="1:6">
      <c r="A59" s="72">
        <v>53</v>
      </c>
      <c r="B59" s="68">
        <v>45413</v>
      </c>
      <c r="C59" s="61" cm="1">
        <f t="array" ref="C59">SUM(SUMIFS('MAIN DATA, Orders'!$M:$M,'MAIN DATA, Orders'!$C:$C,"Germany",'MAIN DATA, Orders'!$G:$G,{"Aircraft","Development - Aircraft","Missile (Air)","Development - Missile (Air)"},'MAIN DATA, Orders'!$Q:$Q,$A59)/1000000000)</f>
        <v>0.17799999999999999</v>
      </c>
      <c r="D59" s="61" cm="1">
        <f t="array" ref="D59">SUM(SUMIFS('MAIN DATA, Orders'!$M:$M,'MAIN DATA, Orders'!$C:$C,"Germany",'MAIN DATA, Orders'!$G:$G,{"Naval","Development - Naval","Missile (Naval)","Development - Missile (Naval)"},'MAIN DATA, Orders'!$Q:$Q,$A59)/1000000000)</f>
        <v>1.2</v>
      </c>
      <c r="E59" s="61" cm="1">
        <f t="array" ref="E59">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Orders'!$Q:$Q,$A59)/1000000000)</f>
        <v>0</v>
      </c>
      <c r="F59" s="61" cm="1">
        <f t="array" ref="F59">SUM(SUMIFS('MAIN DATA, Orders'!$M:$M,'MAIN DATA, Orders'!$C:$C,"Germany",'MAIN DATA, Orders'!$G:$G,{"Maintenance","Development - Maintenance","Modernisation","Development - Modernisation","Other","Development - Other"},'MAIN DATA, Orders'!$Q:$Q,$A59)/1000000000)</f>
        <v>0.47095999999999999</v>
      </c>
    </row>
    <row r="60" spans="1:6">
      <c r="A60" s="72">
        <v>54</v>
      </c>
      <c r="B60" s="68">
        <v>45444</v>
      </c>
      <c r="C60" s="61" cm="1">
        <f t="array" ref="C60">SUM(SUMIFS('MAIN DATA, Orders'!$M:$M,'MAIN DATA, Orders'!$C:$C,"Germany",'MAIN DATA, Orders'!$G:$G,{"Aircraft","Development - Aircraft","Missile (Air)","Development - Missile (Air)"},'MAIN DATA, Orders'!$Q:$Q,$A60)/1000000000)</f>
        <v>0.442</v>
      </c>
      <c r="D60" s="61" cm="1">
        <f t="array" ref="D60">SUM(SUMIFS('MAIN DATA, Orders'!$M:$M,'MAIN DATA, Orders'!$C:$C,"Germany",'MAIN DATA, Orders'!$G:$G,{"Naval","Development - Naval","Missile (Naval)","Development - Missile (Naval)"},'MAIN DATA, Orders'!$Q:$Q,$A60)/1000000000)</f>
        <v>4.0519999999999996</v>
      </c>
      <c r="E60" s="61" cm="1">
        <f t="array" ref="E60">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Orders'!$Q:$Q,$A60)/1000000000)</f>
        <v>1.466</v>
      </c>
      <c r="F60" s="61" cm="1">
        <f t="array" ref="F60">SUM(SUMIFS('MAIN DATA, Orders'!$M:$M,'MAIN DATA, Orders'!$C:$C,"Germany",'MAIN DATA, Orders'!$G:$G,{"Maintenance","Development - Maintenance","Modernisation","Development - Modernisation","Other","Development - Other"},'MAIN DATA, Orders'!$Q:$Q,$A60)/1000000000)</f>
        <v>3.5170000000000003</v>
      </c>
    </row>
    <row r="61" spans="1:6">
      <c r="A61" s="72">
        <v>55</v>
      </c>
      <c r="B61" s="155">
        <v>45474</v>
      </c>
      <c r="C61" s="159" cm="1">
        <f t="array" ref="C61">SUM(SUMIFS('MAIN DATA, Orders'!$M:$M,'MAIN DATA, Orders'!$C:$C,"Germany",'MAIN DATA, Orders'!$G:$G,{"Aircraft","Development - Aircraft","Missile (Air)","Development - Missile (Air)"},'MAIN DATA, Orders'!$Q:$Q,$A61)/1000000000)</f>
        <v>0</v>
      </c>
      <c r="D61" s="159" cm="1">
        <f t="array" ref="D61">SUM(SUMIFS('MAIN DATA, Orders'!$M:$M,'MAIN DATA, Orders'!$C:$C,"Germany",'MAIN DATA, Orders'!$G:$G,{"Naval","Development - Naval","Missile (Naval)","Development - Missile (Naval)"},'MAIN DATA, Orders'!$Q:$Q,$A61)/1000000000)</f>
        <v>0</v>
      </c>
      <c r="E61" s="159" cm="1">
        <f t="array" ref="E61">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Orders'!$Q:$Q,$A61)/1000000000)</f>
        <v>6.2519999999999998</v>
      </c>
      <c r="F61" s="159" cm="1">
        <f t="array" ref="F61">SUM(SUMIFS('MAIN DATA, Orders'!$M:$M,'MAIN DATA, Orders'!$C:$C,"Germany",'MAIN DATA, Orders'!$G:$G,{"Maintenance","Development - Maintenance","Modernisation","Development - Modernisation","Other","Development - Other"},'MAIN DATA, Orders'!$Q:$Q,$A61)/1000000000)</f>
        <v>6.7000000000000004E-2</v>
      </c>
    </row>
    <row r="62" spans="1:6">
      <c r="A62" s="199"/>
      <c r="B62" s="199"/>
      <c r="C62" s="199"/>
      <c r="D62" s="199"/>
      <c r="E62" s="199"/>
      <c r="F62" s="199"/>
    </row>
    <row r="63" spans="1:6">
      <c r="A63" s="199"/>
      <c r="B63" s="19" t="s">
        <v>1431</v>
      </c>
      <c r="C63" s="69">
        <f>SUM(C7:C61)</f>
        <v>24.624900000000004</v>
      </c>
      <c r="D63" s="69">
        <f t="shared" ref="D63:F63" si="0">SUM(D7:D61)</f>
        <v>25.288477999999998</v>
      </c>
      <c r="E63" s="69">
        <f t="shared" si="0"/>
        <v>43.819500000000005</v>
      </c>
      <c r="F63" s="69">
        <f t="shared" si="0"/>
        <v>43.91019</v>
      </c>
    </row>
  </sheetData>
  <mergeCells count="2">
    <mergeCell ref="N4:S4"/>
    <mergeCell ref="B4:J4"/>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83E2E-5628-40F5-8442-4F0164AF729C}">
  <sheetPr>
    <tabColor theme="8" tint="0.59999389629810485"/>
  </sheetPr>
  <dimension ref="A2:H63"/>
  <sheetViews>
    <sheetView zoomScaleNormal="100" workbookViewId="0"/>
  </sheetViews>
  <sheetFormatPr defaultColWidth="8.69921875" defaultRowHeight="15.6"/>
  <cols>
    <col min="1" max="1" width="8.69921875" style="1"/>
    <col min="2" max="2" width="13.5" style="1" customWidth="1"/>
    <col min="3" max="3" width="16.69921875" style="1" bestFit="1" customWidth="1"/>
    <col min="4" max="4" width="34.69921875" style="1" bestFit="1" customWidth="1"/>
    <col min="5" max="5" width="31.5" style="1" bestFit="1" customWidth="1"/>
    <col min="6" max="6" width="22.5" style="1" bestFit="1" customWidth="1"/>
    <col min="7" max="16384" width="8.69921875" style="1"/>
  </cols>
  <sheetData>
    <row r="2" spans="1:6" ht="25.2">
      <c r="B2" s="67" t="s">
        <v>1600</v>
      </c>
    </row>
    <row r="4" spans="1:6" ht="130.19999999999999" customHeight="1">
      <c r="B4" s="206" t="s">
        <v>1601</v>
      </c>
      <c r="C4" s="206"/>
      <c r="D4" s="206"/>
      <c r="E4" s="206"/>
    </row>
    <row r="6" spans="1:6" ht="21" customHeight="1">
      <c r="B6" s="161" t="s">
        <v>1404</v>
      </c>
      <c r="C6" s="162" t="s">
        <v>1602</v>
      </c>
      <c r="D6" s="162" t="s">
        <v>1603</v>
      </c>
      <c r="E6" s="162" t="s">
        <v>1604</v>
      </c>
      <c r="F6" s="162" t="s">
        <v>1605</v>
      </c>
    </row>
    <row r="7" spans="1:6">
      <c r="A7" s="72">
        <v>1</v>
      </c>
      <c r="B7" s="68">
        <v>43831</v>
      </c>
      <c r="C7" s="61">
        <f>(SUMIFS('MAIN DATA, Orders'!$M:$M,'MAIN DATA, Orders'!$C:$C,"Germany",'MAIN DATA, Orders'!$Q:$Q,$A7,'MAIN DATA, Orders'!$X:$X,"0",'MAIN DATA, Orders'!$Z:$Z,"Germany")/1000000000)</f>
        <v>0</v>
      </c>
      <c r="D7" s="61">
        <f>(SUMIFS('MAIN DATA, Orders'!$M:$M,'MAIN DATA, Orders'!$C:$C,"Germany",'MAIN DATA, Orders'!$Q:$Q,$A7,'MAIN DATA, Orders'!$X:$X,"1")/1000000000)</f>
        <v>0</v>
      </c>
      <c r="E7" s="61">
        <f>(SUMIFS('MAIN DATA, Orders'!$M:$M,'MAIN DATA, Orders'!$C:$C,"Germany",'MAIN DATA, Orders'!$Q:$Q,$A7,'MAIN DATA, Orders'!$U:$U,"1",'MAIN DATA, Orders'!$X:$X,"0",'MAIN DATA, Orders'!$Z:$Z,"&lt;&gt;Germany")/1000000000)</f>
        <v>0</v>
      </c>
      <c r="F7" s="61">
        <f>(SUMIFS('MAIN DATA, Orders'!$M:$M,'MAIN DATA, Orders'!$C:$C,"Germany",'MAIN DATA, Orders'!$Q:$Q,$A7,'MAIN DATA, Orders'!$U:$U,"0",'MAIN DATA, Orders'!$X:$X,"0")/1000000000)</f>
        <v>0</v>
      </c>
    </row>
    <row r="8" spans="1:6">
      <c r="A8" s="72">
        <v>2</v>
      </c>
      <c r="B8" s="68">
        <v>43862</v>
      </c>
      <c r="C8" s="61">
        <f>(SUMIFS('MAIN DATA, Orders'!$M:$M,'MAIN DATA, Orders'!$C:$C,"Germany",'MAIN DATA, Orders'!$Q:$Q,$A8,'MAIN DATA, Orders'!$X:$X,"0",'MAIN DATA, Orders'!$Z:$Z,"Germany")/1000000000)</f>
        <v>0</v>
      </c>
      <c r="D8" s="61">
        <f>(SUMIFS('MAIN DATA, Orders'!$M:$M,'MAIN DATA, Orders'!$C:$C,"Germany",'MAIN DATA, Orders'!$Q:$Q,$A8,'MAIN DATA, Orders'!$X:$X,"1")/1000000000)</f>
        <v>0</v>
      </c>
      <c r="E8" s="61">
        <f>(SUMIFS('MAIN DATA, Orders'!$M:$M,'MAIN DATA, Orders'!$C:$C,"Germany",'MAIN DATA, Orders'!$Q:$Q,$A8,'MAIN DATA, Orders'!$U:$U,"1",'MAIN DATA, Orders'!$X:$X,"0",'MAIN DATA, Orders'!$Z:$Z,"&lt;&gt;Germany")/1000000000)</f>
        <v>0</v>
      </c>
      <c r="F8" s="61">
        <f>(SUMIFS('MAIN DATA, Orders'!$M:$M,'MAIN DATA, Orders'!$C:$C,"Germany",'MAIN DATA, Orders'!$Q:$Q,$A8,'MAIN DATA, Orders'!$U:$U,"0",'MAIN DATA, Orders'!$X:$X,"0")/1000000000)</f>
        <v>0</v>
      </c>
    </row>
    <row r="9" spans="1:6">
      <c r="A9" s="72">
        <v>3</v>
      </c>
      <c r="B9" s="68">
        <v>43891</v>
      </c>
      <c r="C9" s="61">
        <f>(SUMIFS('MAIN DATA, Orders'!$M:$M,'MAIN DATA, Orders'!$C:$C,"Germany",'MAIN DATA, Orders'!$Q:$Q,$A9,'MAIN DATA, Orders'!$X:$X,"0",'MAIN DATA, Orders'!$Z:$Z,"Germany")/1000000000)</f>
        <v>0</v>
      </c>
      <c r="D9" s="61">
        <f>(SUMIFS('MAIN DATA, Orders'!$M:$M,'MAIN DATA, Orders'!$C:$C,"Germany",'MAIN DATA, Orders'!$Q:$Q,$A9,'MAIN DATA, Orders'!$X:$X,"1")/1000000000)</f>
        <v>0</v>
      </c>
      <c r="E9" s="61">
        <f>(SUMIFS('MAIN DATA, Orders'!$M:$M,'MAIN DATA, Orders'!$C:$C,"Germany",'MAIN DATA, Orders'!$Q:$Q,$A9,'MAIN DATA, Orders'!$U:$U,"1",'MAIN DATA, Orders'!$X:$X,"0",'MAIN DATA, Orders'!$Z:$Z,"&lt;&gt;Germany")/1000000000)</f>
        <v>0</v>
      </c>
      <c r="F9" s="61">
        <f>(SUMIFS('MAIN DATA, Orders'!$M:$M,'MAIN DATA, Orders'!$C:$C,"Germany",'MAIN DATA, Orders'!$Q:$Q,$A9,'MAIN DATA, Orders'!$U:$U,"0",'MAIN DATA, Orders'!$X:$X,"0")/1000000000)</f>
        <v>0</v>
      </c>
    </row>
    <row r="10" spans="1:6">
      <c r="A10" s="72">
        <v>4</v>
      </c>
      <c r="B10" s="68">
        <v>43922</v>
      </c>
      <c r="C10" s="61">
        <f>(SUMIFS('MAIN DATA, Orders'!$M:$M,'MAIN DATA, Orders'!$C:$C,"Germany",'MAIN DATA, Orders'!$Q:$Q,$A10,'MAIN DATA, Orders'!$X:$X,"0",'MAIN DATA, Orders'!$Z:$Z,"Germany")/1000000000)</f>
        <v>0</v>
      </c>
      <c r="D10" s="61">
        <f>(SUMIFS('MAIN DATA, Orders'!$M:$M,'MAIN DATA, Orders'!$C:$C,"Germany",'MAIN DATA, Orders'!$Q:$Q,$A10,'MAIN DATA, Orders'!$X:$X,"1")/1000000000)</f>
        <v>0</v>
      </c>
      <c r="E10" s="61">
        <f>(SUMIFS('MAIN DATA, Orders'!$M:$M,'MAIN DATA, Orders'!$C:$C,"Germany",'MAIN DATA, Orders'!$Q:$Q,$A10,'MAIN DATA, Orders'!$U:$U,"1",'MAIN DATA, Orders'!$X:$X,"0",'MAIN DATA, Orders'!$Z:$Z,"&lt;&gt;Germany")/1000000000)</f>
        <v>0</v>
      </c>
      <c r="F10" s="61">
        <f>(SUMIFS('MAIN DATA, Orders'!$M:$M,'MAIN DATA, Orders'!$C:$C,"Germany",'MAIN DATA, Orders'!$Q:$Q,$A10,'MAIN DATA, Orders'!$U:$U,"0",'MAIN DATA, Orders'!$X:$X,"0")/1000000000)</f>
        <v>0</v>
      </c>
    </row>
    <row r="11" spans="1:6">
      <c r="A11" s="72">
        <v>5</v>
      </c>
      <c r="B11" s="68">
        <v>43952</v>
      </c>
      <c r="C11" s="61">
        <f>(SUMIFS('MAIN DATA, Orders'!$M:$M,'MAIN DATA, Orders'!$C:$C,"Germany",'MAIN DATA, Orders'!$Q:$Q,$A11,'MAIN DATA, Orders'!$X:$X,"0",'MAIN DATA, Orders'!$Z:$Z,"Germany")/1000000000)</f>
        <v>0</v>
      </c>
      <c r="D11" s="61">
        <f>(SUMIFS('MAIN DATA, Orders'!$M:$M,'MAIN DATA, Orders'!$C:$C,"Germany",'MAIN DATA, Orders'!$Q:$Q,$A11,'MAIN DATA, Orders'!$X:$X,"1")/1000000000)</f>
        <v>0.03</v>
      </c>
      <c r="E11" s="61">
        <f>(SUMIFS('MAIN DATA, Orders'!$M:$M,'MAIN DATA, Orders'!$C:$C,"Germany",'MAIN DATA, Orders'!$Q:$Q,$A11,'MAIN DATA, Orders'!$U:$U,"1",'MAIN DATA, Orders'!$X:$X,"0",'MAIN DATA, Orders'!$Z:$Z,"&lt;&gt;Germany")/1000000000)</f>
        <v>0</v>
      </c>
      <c r="F11" s="61">
        <f>(SUMIFS('MAIN DATA, Orders'!$M:$M,'MAIN DATA, Orders'!$C:$C,"Germany",'MAIN DATA, Orders'!$Q:$Q,$A11,'MAIN DATA, Orders'!$U:$U,"0",'MAIN DATA, Orders'!$X:$X,"0")/1000000000)</f>
        <v>0</v>
      </c>
    </row>
    <row r="12" spans="1:6">
      <c r="A12" s="72">
        <v>6</v>
      </c>
      <c r="B12" s="68">
        <v>43983</v>
      </c>
      <c r="C12" s="61">
        <f>(SUMIFS('MAIN DATA, Orders'!$M:$M,'MAIN DATA, Orders'!$C:$C,"Germany",'MAIN DATA, Orders'!$Q:$Q,$A12,'MAIN DATA, Orders'!$X:$X,"0",'MAIN DATA, Orders'!$Z:$Z,"Germany")/1000000000)</f>
        <v>4.5999999999999996</v>
      </c>
      <c r="D12" s="61">
        <f>(SUMIFS('MAIN DATA, Orders'!$M:$M,'MAIN DATA, Orders'!$C:$C,"Germany",'MAIN DATA, Orders'!$Q:$Q,$A12,'MAIN DATA, Orders'!$X:$X,"1")/1000000000)</f>
        <v>8.4</v>
      </c>
      <c r="E12" s="61">
        <f>(SUMIFS('MAIN DATA, Orders'!$M:$M,'MAIN DATA, Orders'!$C:$C,"Germany",'MAIN DATA, Orders'!$Q:$Q,$A12,'MAIN DATA, Orders'!$U:$U,"1",'MAIN DATA, Orders'!$X:$X,"0",'MAIN DATA, Orders'!$Z:$Z,"&lt;&gt;Germany")/1000000000)</f>
        <v>0</v>
      </c>
      <c r="F12" s="61">
        <f>(SUMIFS('MAIN DATA, Orders'!$M:$M,'MAIN DATA, Orders'!$C:$C,"Germany",'MAIN DATA, Orders'!$Q:$Q,$A12,'MAIN DATA, Orders'!$U:$U,"0",'MAIN DATA, Orders'!$X:$X,"0")/1000000000)</f>
        <v>0</v>
      </c>
    </row>
    <row r="13" spans="1:6">
      <c r="A13" s="72">
        <v>7</v>
      </c>
      <c r="B13" s="68">
        <v>44013</v>
      </c>
      <c r="C13" s="61">
        <f>(SUMIFS('MAIN DATA, Orders'!$M:$M,'MAIN DATA, Orders'!$C:$C,"Germany",'MAIN DATA, Orders'!$Q:$Q,$A13,'MAIN DATA, Orders'!$X:$X,"0",'MAIN DATA, Orders'!$Z:$Z,"Germany")/1000000000)</f>
        <v>0</v>
      </c>
      <c r="D13" s="61">
        <f>(SUMIFS('MAIN DATA, Orders'!$M:$M,'MAIN DATA, Orders'!$C:$C,"Germany",'MAIN DATA, Orders'!$Q:$Q,$A13,'MAIN DATA, Orders'!$X:$X,"1")/1000000000)</f>
        <v>0</v>
      </c>
      <c r="E13" s="61">
        <f>(SUMIFS('MAIN DATA, Orders'!$M:$M,'MAIN DATA, Orders'!$C:$C,"Germany",'MAIN DATA, Orders'!$Q:$Q,$A13,'MAIN DATA, Orders'!$U:$U,"1",'MAIN DATA, Orders'!$X:$X,"0",'MAIN DATA, Orders'!$Z:$Z,"&lt;&gt;Germany")/1000000000)</f>
        <v>0</v>
      </c>
      <c r="F13" s="61">
        <f>(SUMIFS('MAIN DATA, Orders'!$M:$M,'MAIN DATA, Orders'!$C:$C,"Germany",'MAIN DATA, Orders'!$Q:$Q,$A13,'MAIN DATA, Orders'!$U:$U,"0",'MAIN DATA, Orders'!$X:$X,"0")/1000000000)</f>
        <v>0</v>
      </c>
    </row>
    <row r="14" spans="1:6">
      <c r="A14" s="72">
        <v>8</v>
      </c>
      <c r="B14" s="68">
        <v>44044</v>
      </c>
      <c r="C14" s="61">
        <f>(SUMIFS('MAIN DATA, Orders'!$M:$M,'MAIN DATA, Orders'!$C:$C,"Germany",'MAIN DATA, Orders'!$Q:$Q,$A14,'MAIN DATA, Orders'!$X:$X,"0",'MAIN DATA, Orders'!$Z:$Z,"Germany")/1000000000)</f>
        <v>0.35</v>
      </c>
      <c r="D14" s="61">
        <f>(SUMIFS('MAIN DATA, Orders'!$M:$M,'MAIN DATA, Orders'!$C:$C,"Germany",'MAIN DATA, Orders'!$Q:$Q,$A14,'MAIN DATA, Orders'!$X:$X,"1")/1000000000)</f>
        <v>0</v>
      </c>
      <c r="E14" s="61">
        <f>(SUMIFS('MAIN DATA, Orders'!$M:$M,'MAIN DATA, Orders'!$C:$C,"Germany",'MAIN DATA, Orders'!$Q:$Q,$A14,'MAIN DATA, Orders'!$U:$U,"1",'MAIN DATA, Orders'!$X:$X,"0",'MAIN DATA, Orders'!$Z:$Z,"&lt;&gt;Germany")/1000000000)</f>
        <v>0</v>
      </c>
      <c r="F14" s="61">
        <f>(SUMIFS('MAIN DATA, Orders'!$M:$M,'MAIN DATA, Orders'!$C:$C,"Germany",'MAIN DATA, Orders'!$Q:$Q,$A14,'MAIN DATA, Orders'!$U:$U,"0",'MAIN DATA, Orders'!$X:$X,"0")/1000000000)</f>
        <v>0</v>
      </c>
    </row>
    <row r="15" spans="1:6">
      <c r="A15" s="72">
        <v>9</v>
      </c>
      <c r="B15" s="68">
        <v>44075</v>
      </c>
      <c r="C15" s="61">
        <f>(SUMIFS('MAIN DATA, Orders'!$M:$M,'MAIN DATA, Orders'!$C:$C,"Germany",'MAIN DATA, Orders'!$Q:$Q,$A15,'MAIN DATA, Orders'!$X:$X,"0",'MAIN DATA, Orders'!$Z:$Z,"Germany")/1000000000)</f>
        <v>1.88</v>
      </c>
      <c r="D15" s="61">
        <f>(SUMIFS('MAIN DATA, Orders'!$M:$M,'MAIN DATA, Orders'!$C:$C,"Germany",'MAIN DATA, Orders'!$Q:$Q,$A15,'MAIN DATA, Orders'!$X:$X,"1")/1000000000)</f>
        <v>0.504</v>
      </c>
      <c r="E15" s="61">
        <f>(SUMIFS('MAIN DATA, Orders'!$M:$M,'MAIN DATA, Orders'!$C:$C,"Germany",'MAIN DATA, Orders'!$Q:$Q,$A15,'MAIN DATA, Orders'!$U:$U,"1",'MAIN DATA, Orders'!$X:$X,"0",'MAIN DATA, Orders'!$Z:$Z,"&lt;&gt;Germany")/1000000000)</f>
        <v>0</v>
      </c>
      <c r="F15" s="61">
        <f>(SUMIFS('MAIN DATA, Orders'!$M:$M,'MAIN DATA, Orders'!$C:$C,"Germany",'MAIN DATA, Orders'!$Q:$Q,$A15,'MAIN DATA, Orders'!$U:$U,"0",'MAIN DATA, Orders'!$X:$X,"0")/1000000000)</f>
        <v>0</v>
      </c>
    </row>
    <row r="16" spans="1:6">
      <c r="A16" s="72">
        <v>10</v>
      </c>
      <c r="B16" s="68">
        <v>44105</v>
      </c>
      <c r="C16" s="61">
        <f>(SUMIFS('MAIN DATA, Orders'!$M:$M,'MAIN DATA, Orders'!$C:$C,"Germany",'MAIN DATA, Orders'!$Q:$Q,$A16,'MAIN DATA, Orders'!$X:$X,"0",'MAIN DATA, Orders'!$Z:$Z,"Germany")/1000000000)</f>
        <v>0.04</v>
      </c>
      <c r="D16" s="61">
        <f>(SUMIFS('MAIN DATA, Orders'!$M:$M,'MAIN DATA, Orders'!$C:$C,"Germany",'MAIN DATA, Orders'!$Q:$Q,$A16,'MAIN DATA, Orders'!$X:$X,"1")/1000000000)</f>
        <v>0</v>
      </c>
      <c r="E16" s="61">
        <f>(SUMIFS('MAIN DATA, Orders'!$M:$M,'MAIN DATA, Orders'!$C:$C,"Germany",'MAIN DATA, Orders'!$Q:$Q,$A16,'MAIN DATA, Orders'!$U:$U,"1",'MAIN DATA, Orders'!$X:$X,"0",'MAIN DATA, Orders'!$Z:$Z,"&lt;&gt;Germany")/1000000000)</f>
        <v>0</v>
      </c>
      <c r="F16" s="61">
        <f>(SUMIFS('MAIN DATA, Orders'!$M:$M,'MAIN DATA, Orders'!$C:$C,"Germany",'MAIN DATA, Orders'!$Q:$Q,$A16,'MAIN DATA, Orders'!$U:$U,"0",'MAIN DATA, Orders'!$X:$X,"0")/1000000000)</f>
        <v>0</v>
      </c>
    </row>
    <row r="17" spans="1:6">
      <c r="A17" s="72">
        <v>11</v>
      </c>
      <c r="B17" s="68">
        <v>44136</v>
      </c>
      <c r="C17" s="61">
        <f>(SUMIFS('MAIN DATA, Orders'!$M:$M,'MAIN DATA, Orders'!$C:$C,"Germany",'MAIN DATA, Orders'!$Q:$Q,$A17,'MAIN DATA, Orders'!$X:$X,"0",'MAIN DATA, Orders'!$Z:$Z,"Germany")/1000000000)</f>
        <v>0.80600000000000005</v>
      </c>
      <c r="D17" s="61">
        <f>(SUMIFS('MAIN DATA, Orders'!$M:$M,'MAIN DATA, Orders'!$C:$C,"Germany",'MAIN DATA, Orders'!$Q:$Q,$A17,'MAIN DATA, Orders'!$X:$X,"1")/1000000000)</f>
        <v>8.1999999999999993</v>
      </c>
      <c r="E17" s="61">
        <f>(SUMIFS('MAIN DATA, Orders'!$M:$M,'MAIN DATA, Orders'!$C:$C,"Germany",'MAIN DATA, Orders'!$Q:$Q,$A17,'MAIN DATA, Orders'!$U:$U,"1",'MAIN DATA, Orders'!$X:$X,"0",'MAIN DATA, Orders'!$Z:$Z,"&lt;&gt;Germany")/1000000000)</f>
        <v>0</v>
      </c>
      <c r="F17" s="61">
        <f>(SUMIFS('MAIN DATA, Orders'!$M:$M,'MAIN DATA, Orders'!$C:$C,"Germany",'MAIN DATA, Orders'!$Q:$Q,$A17,'MAIN DATA, Orders'!$U:$U,"0",'MAIN DATA, Orders'!$X:$X,"0")/1000000000)</f>
        <v>0</v>
      </c>
    </row>
    <row r="18" spans="1:6">
      <c r="A18" s="72">
        <v>12</v>
      </c>
      <c r="B18" s="68">
        <v>44166</v>
      </c>
      <c r="C18" s="61">
        <f>(SUMIFS('MAIN DATA, Orders'!$M:$M,'MAIN DATA, Orders'!$C:$C,"Germany",'MAIN DATA, Orders'!$Q:$Q,$A18,'MAIN DATA, Orders'!$X:$X,"0",'MAIN DATA, Orders'!$Z:$Z,"Germany")/1000000000)</f>
        <v>0.45</v>
      </c>
      <c r="D18" s="61">
        <f>(SUMIFS('MAIN DATA, Orders'!$M:$M,'MAIN DATA, Orders'!$C:$C,"Germany",'MAIN DATA, Orders'!$Q:$Q,$A18,'MAIN DATA, Orders'!$X:$X,"1")/1000000000)</f>
        <v>0</v>
      </c>
      <c r="E18" s="61">
        <f>(SUMIFS('MAIN DATA, Orders'!$M:$M,'MAIN DATA, Orders'!$C:$C,"Germany",'MAIN DATA, Orders'!$Q:$Q,$A18,'MAIN DATA, Orders'!$U:$U,"1",'MAIN DATA, Orders'!$X:$X,"0",'MAIN DATA, Orders'!$Z:$Z,"&lt;&gt;Germany")/1000000000)</f>
        <v>0</v>
      </c>
      <c r="F18" s="61">
        <f>(SUMIFS('MAIN DATA, Orders'!$M:$M,'MAIN DATA, Orders'!$C:$C,"Germany",'MAIN DATA, Orders'!$Q:$Q,$A18,'MAIN DATA, Orders'!$U:$U,"0",'MAIN DATA, Orders'!$X:$X,"0")/1000000000)</f>
        <v>0</v>
      </c>
    </row>
    <row r="19" spans="1:6">
      <c r="A19" s="72">
        <v>13</v>
      </c>
      <c r="B19" s="68">
        <v>44197</v>
      </c>
      <c r="C19" s="61">
        <f>(SUMIFS('MAIN DATA, Orders'!$M:$M,'MAIN DATA, Orders'!$C:$C,"Germany",'MAIN DATA, Orders'!$Q:$Q,$A19,'MAIN DATA, Orders'!$X:$X,"0",'MAIN DATA, Orders'!$Z:$Z,"Germany")/1000000000)</f>
        <v>0</v>
      </c>
      <c r="D19" s="61">
        <f>(SUMIFS('MAIN DATA, Orders'!$M:$M,'MAIN DATA, Orders'!$C:$C,"Germany",'MAIN DATA, Orders'!$Q:$Q,$A19,'MAIN DATA, Orders'!$X:$X,"1")/1000000000)</f>
        <v>0</v>
      </c>
      <c r="E19" s="61">
        <f>(SUMIFS('MAIN DATA, Orders'!$M:$M,'MAIN DATA, Orders'!$C:$C,"Germany",'MAIN DATA, Orders'!$Q:$Q,$A19,'MAIN DATA, Orders'!$U:$U,"1",'MAIN DATA, Orders'!$X:$X,"0",'MAIN DATA, Orders'!$Z:$Z,"&lt;&gt;Germany")/1000000000)</f>
        <v>0</v>
      </c>
      <c r="F19" s="61">
        <f>(SUMIFS('MAIN DATA, Orders'!$M:$M,'MAIN DATA, Orders'!$C:$C,"Germany",'MAIN DATA, Orders'!$Q:$Q,$A19,'MAIN DATA, Orders'!$U:$U,"0",'MAIN DATA, Orders'!$X:$X,"0")/1000000000)</f>
        <v>0</v>
      </c>
    </row>
    <row r="20" spans="1:6">
      <c r="A20" s="72">
        <v>14</v>
      </c>
      <c r="B20" s="68">
        <v>44228</v>
      </c>
      <c r="C20" s="61">
        <f>(SUMIFS('MAIN DATA, Orders'!$M:$M,'MAIN DATA, Orders'!$C:$C,"Germany",'MAIN DATA, Orders'!$Q:$Q,$A20,'MAIN DATA, Orders'!$X:$X,"0",'MAIN DATA, Orders'!$Z:$Z,"Germany")/1000000000)</f>
        <v>0</v>
      </c>
      <c r="D20" s="61">
        <f>(SUMIFS('MAIN DATA, Orders'!$M:$M,'MAIN DATA, Orders'!$C:$C,"Germany",'MAIN DATA, Orders'!$Q:$Q,$A20,'MAIN DATA, Orders'!$X:$X,"1")/1000000000)</f>
        <v>8.7999999999999995E-2</v>
      </c>
      <c r="E20" s="61">
        <f>(SUMIFS('MAIN DATA, Orders'!$M:$M,'MAIN DATA, Orders'!$C:$C,"Germany",'MAIN DATA, Orders'!$Q:$Q,$A20,'MAIN DATA, Orders'!$U:$U,"1",'MAIN DATA, Orders'!$X:$X,"0",'MAIN DATA, Orders'!$Z:$Z,"&lt;&gt;Germany")/1000000000)</f>
        <v>0</v>
      </c>
      <c r="F20" s="61">
        <f>(SUMIFS('MAIN DATA, Orders'!$M:$M,'MAIN DATA, Orders'!$C:$C,"Germany",'MAIN DATA, Orders'!$Q:$Q,$A20,'MAIN DATA, Orders'!$U:$U,"0",'MAIN DATA, Orders'!$X:$X,"0")/1000000000)</f>
        <v>0</v>
      </c>
    </row>
    <row r="21" spans="1:6">
      <c r="A21" s="72">
        <v>15</v>
      </c>
      <c r="B21" s="68">
        <v>44256</v>
      </c>
      <c r="C21" s="61">
        <f>(SUMIFS('MAIN DATA, Orders'!$M:$M,'MAIN DATA, Orders'!$C:$C,"Germany",'MAIN DATA, Orders'!$Q:$Q,$A21,'MAIN DATA, Orders'!$X:$X,"0",'MAIN DATA, Orders'!$Z:$Z,"Germany")/1000000000)</f>
        <v>0</v>
      </c>
      <c r="D21" s="61">
        <f>(SUMIFS('MAIN DATA, Orders'!$M:$M,'MAIN DATA, Orders'!$C:$C,"Germany",'MAIN DATA, Orders'!$Q:$Q,$A21,'MAIN DATA, Orders'!$X:$X,"1")/1000000000)</f>
        <v>0</v>
      </c>
      <c r="E21" s="61">
        <f>(SUMIFS('MAIN DATA, Orders'!$M:$M,'MAIN DATA, Orders'!$C:$C,"Germany",'MAIN DATA, Orders'!$Q:$Q,$A21,'MAIN DATA, Orders'!$U:$U,"1",'MAIN DATA, Orders'!$X:$X,"0",'MAIN DATA, Orders'!$Z:$Z,"&lt;&gt;Germany")/1000000000)</f>
        <v>0</v>
      </c>
      <c r="F21" s="61">
        <f>(SUMIFS('MAIN DATA, Orders'!$M:$M,'MAIN DATA, Orders'!$C:$C,"Germany",'MAIN DATA, Orders'!$Q:$Q,$A21,'MAIN DATA, Orders'!$U:$U,"0",'MAIN DATA, Orders'!$X:$X,"0")/1000000000)</f>
        <v>0</v>
      </c>
    </row>
    <row r="22" spans="1:6">
      <c r="A22" s="72">
        <v>16</v>
      </c>
      <c r="B22" s="68">
        <v>44287</v>
      </c>
      <c r="C22" s="61">
        <f>(SUMIFS('MAIN DATA, Orders'!$M:$M,'MAIN DATA, Orders'!$C:$C,"Germany",'MAIN DATA, Orders'!$Q:$Q,$A22,'MAIN DATA, Orders'!$X:$X,"0",'MAIN DATA, Orders'!$Z:$Z,"Germany")/1000000000)</f>
        <v>0.29499999999999998</v>
      </c>
      <c r="D22" s="61">
        <f>(SUMIFS('MAIN DATA, Orders'!$M:$M,'MAIN DATA, Orders'!$C:$C,"Germany",'MAIN DATA, Orders'!$Q:$Q,$A22,'MAIN DATA, Orders'!$X:$X,"1")/1000000000)</f>
        <v>3.3460000000000001</v>
      </c>
      <c r="E22" s="61">
        <f>(SUMIFS('MAIN DATA, Orders'!$M:$M,'MAIN DATA, Orders'!$C:$C,"Germany",'MAIN DATA, Orders'!$Q:$Q,$A22,'MAIN DATA, Orders'!$U:$U,"1",'MAIN DATA, Orders'!$X:$X,"0",'MAIN DATA, Orders'!$Z:$Z,"&lt;&gt;Germany")/1000000000)</f>
        <v>0</v>
      </c>
      <c r="F22" s="61">
        <f>(SUMIFS('MAIN DATA, Orders'!$M:$M,'MAIN DATA, Orders'!$C:$C,"Germany",'MAIN DATA, Orders'!$Q:$Q,$A22,'MAIN DATA, Orders'!$U:$U,"0",'MAIN DATA, Orders'!$X:$X,"0")/1000000000)</f>
        <v>0</v>
      </c>
    </row>
    <row r="23" spans="1:6">
      <c r="A23" s="72">
        <v>17</v>
      </c>
      <c r="B23" s="68">
        <v>44317</v>
      </c>
      <c r="C23" s="61">
        <f>(SUMIFS('MAIN DATA, Orders'!$M:$M,'MAIN DATA, Orders'!$C:$C,"Germany",'MAIN DATA, Orders'!$Q:$Q,$A23,'MAIN DATA, Orders'!$X:$X,"0",'MAIN DATA, Orders'!$Z:$Z,"Germany")/1000000000)</f>
        <v>2.4020000000000001</v>
      </c>
      <c r="D23" s="61">
        <f>(SUMIFS('MAIN DATA, Orders'!$M:$M,'MAIN DATA, Orders'!$C:$C,"Germany",'MAIN DATA, Orders'!$Q:$Q,$A23,'MAIN DATA, Orders'!$X:$X,"1")/1000000000)</f>
        <v>0</v>
      </c>
      <c r="E23" s="61">
        <f>(SUMIFS('MAIN DATA, Orders'!$M:$M,'MAIN DATA, Orders'!$C:$C,"Germany",'MAIN DATA, Orders'!$Q:$Q,$A23,'MAIN DATA, Orders'!$U:$U,"1",'MAIN DATA, Orders'!$X:$X,"0",'MAIN DATA, Orders'!$Z:$Z,"&lt;&gt;Germany")/1000000000)</f>
        <v>0</v>
      </c>
      <c r="F23" s="61">
        <f>(SUMIFS('MAIN DATA, Orders'!$M:$M,'MAIN DATA, Orders'!$C:$C,"Germany",'MAIN DATA, Orders'!$Q:$Q,$A23,'MAIN DATA, Orders'!$U:$U,"0",'MAIN DATA, Orders'!$X:$X,"0")/1000000000)</f>
        <v>0</v>
      </c>
    </row>
    <row r="24" spans="1:6">
      <c r="A24" s="72">
        <v>18</v>
      </c>
      <c r="B24" s="68">
        <v>44348</v>
      </c>
      <c r="C24" s="61">
        <f>(SUMIFS('MAIN DATA, Orders'!$M:$M,'MAIN DATA, Orders'!$C:$C,"Germany",'MAIN DATA, Orders'!$Q:$Q,$A24,'MAIN DATA, Orders'!$X:$X,"0",'MAIN DATA, Orders'!$Z:$Z,"Germany")/1000000000)</f>
        <v>5.7510000000000003</v>
      </c>
      <c r="D24" s="61">
        <f>(SUMIFS('MAIN DATA, Orders'!$M:$M,'MAIN DATA, Orders'!$C:$C,"Germany",'MAIN DATA, Orders'!$Q:$Q,$A24,'MAIN DATA, Orders'!$X:$X,"1")/1000000000)</f>
        <v>9.1798999999999999</v>
      </c>
      <c r="E24" s="61">
        <f>(SUMIFS('MAIN DATA, Orders'!$M:$M,'MAIN DATA, Orders'!$C:$C,"Germany",'MAIN DATA, Orders'!$Q:$Q,$A24,'MAIN DATA, Orders'!$U:$U,"1",'MAIN DATA, Orders'!$X:$X,"0",'MAIN DATA, Orders'!$Z:$Z,"&lt;&gt;Germany")/1000000000)</f>
        <v>2.4E-2</v>
      </c>
      <c r="F24" s="61">
        <f>(SUMIFS('MAIN DATA, Orders'!$M:$M,'MAIN DATA, Orders'!$C:$C,"Germany",'MAIN DATA, Orders'!$Q:$Q,$A24,'MAIN DATA, Orders'!$U:$U,"0",'MAIN DATA, Orders'!$X:$X,"0")/1000000000)</f>
        <v>1.1000000000000001</v>
      </c>
    </row>
    <row r="25" spans="1:6">
      <c r="A25" s="72">
        <v>19</v>
      </c>
      <c r="B25" s="68">
        <v>44378</v>
      </c>
      <c r="C25" s="61">
        <f>(SUMIFS('MAIN DATA, Orders'!$M:$M,'MAIN DATA, Orders'!$C:$C,"Germany",'MAIN DATA, Orders'!$Q:$Q,$A25,'MAIN DATA, Orders'!$X:$X,"0",'MAIN DATA, Orders'!$Z:$Z,"Germany")/1000000000)</f>
        <v>0</v>
      </c>
      <c r="D25" s="61">
        <f>(SUMIFS('MAIN DATA, Orders'!$M:$M,'MAIN DATA, Orders'!$C:$C,"Germany",'MAIN DATA, Orders'!$Q:$Q,$A25,'MAIN DATA, Orders'!$X:$X,"1")/1000000000)</f>
        <v>0</v>
      </c>
      <c r="E25" s="61">
        <f>(SUMIFS('MAIN DATA, Orders'!$M:$M,'MAIN DATA, Orders'!$C:$C,"Germany",'MAIN DATA, Orders'!$Q:$Q,$A25,'MAIN DATA, Orders'!$U:$U,"1",'MAIN DATA, Orders'!$X:$X,"0",'MAIN DATA, Orders'!$Z:$Z,"&lt;&gt;Germany")/1000000000)</f>
        <v>0</v>
      </c>
      <c r="F25" s="61">
        <f>(SUMIFS('MAIN DATA, Orders'!$M:$M,'MAIN DATA, Orders'!$C:$C,"Germany",'MAIN DATA, Orders'!$Q:$Q,$A25,'MAIN DATA, Orders'!$U:$U,"0",'MAIN DATA, Orders'!$X:$X,"0")/1000000000)</f>
        <v>0</v>
      </c>
    </row>
    <row r="26" spans="1:6">
      <c r="A26" s="72">
        <v>20</v>
      </c>
      <c r="B26" s="68">
        <v>44409</v>
      </c>
      <c r="C26" s="61">
        <f>(SUMIFS('MAIN DATA, Orders'!$M:$M,'MAIN DATA, Orders'!$C:$C,"Germany",'MAIN DATA, Orders'!$Q:$Q,$A26,'MAIN DATA, Orders'!$X:$X,"0",'MAIN DATA, Orders'!$Z:$Z,"Germany")/1000000000)</f>
        <v>0</v>
      </c>
      <c r="D26" s="61">
        <f>(SUMIFS('MAIN DATA, Orders'!$M:$M,'MAIN DATA, Orders'!$C:$C,"Germany",'MAIN DATA, Orders'!$Q:$Q,$A26,'MAIN DATA, Orders'!$X:$X,"1")/1000000000)</f>
        <v>0</v>
      </c>
      <c r="E26" s="61">
        <f>(SUMIFS('MAIN DATA, Orders'!$M:$M,'MAIN DATA, Orders'!$C:$C,"Germany",'MAIN DATA, Orders'!$Q:$Q,$A26,'MAIN DATA, Orders'!$U:$U,"1",'MAIN DATA, Orders'!$X:$X,"0",'MAIN DATA, Orders'!$Z:$Z,"&lt;&gt;Germany")/1000000000)</f>
        <v>0</v>
      </c>
      <c r="F26" s="61">
        <f>(SUMIFS('MAIN DATA, Orders'!$M:$M,'MAIN DATA, Orders'!$C:$C,"Germany",'MAIN DATA, Orders'!$Q:$Q,$A26,'MAIN DATA, Orders'!$U:$U,"0",'MAIN DATA, Orders'!$X:$X,"0")/1000000000)</f>
        <v>0</v>
      </c>
    </row>
    <row r="27" spans="1:6">
      <c r="A27" s="72">
        <v>21</v>
      </c>
      <c r="B27" s="68">
        <v>44440</v>
      </c>
      <c r="C27" s="61">
        <f>(SUMIFS('MAIN DATA, Orders'!$M:$M,'MAIN DATA, Orders'!$C:$C,"Germany",'MAIN DATA, Orders'!$Q:$Q,$A27,'MAIN DATA, Orders'!$X:$X,"0",'MAIN DATA, Orders'!$Z:$Z,"Germany")/1000000000)</f>
        <v>0</v>
      </c>
      <c r="D27" s="61">
        <f>(SUMIFS('MAIN DATA, Orders'!$M:$M,'MAIN DATA, Orders'!$C:$C,"Germany",'MAIN DATA, Orders'!$Q:$Q,$A27,'MAIN DATA, Orders'!$X:$X,"1")/1000000000)</f>
        <v>0</v>
      </c>
      <c r="E27" s="61">
        <f>(SUMIFS('MAIN DATA, Orders'!$M:$M,'MAIN DATA, Orders'!$C:$C,"Germany",'MAIN DATA, Orders'!$Q:$Q,$A27,'MAIN DATA, Orders'!$U:$U,"1",'MAIN DATA, Orders'!$X:$X,"0",'MAIN DATA, Orders'!$Z:$Z,"&lt;&gt;Germany")/1000000000)</f>
        <v>0</v>
      </c>
      <c r="F27" s="61">
        <f>(SUMIFS('MAIN DATA, Orders'!$M:$M,'MAIN DATA, Orders'!$C:$C,"Germany",'MAIN DATA, Orders'!$Q:$Q,$A27,'MAIN DATA, Orders'!$U:$U,"0",'MAIN DATA, Orders'!$X:$X,"0")/1000000000)</f>
        <v>0</v>
      </c>
    </row>
    <row r="28" spans="1:6">
      <c r="A28" s="72">
        <v>22</v>
      </c>
      <c r="B28" s="68">
        <v>44470</v>
      </c>
      <c r="C28" s="61">
        <f>(SUMIFS('MAIN DATA, Orders'!$M:$M,'MAIN DATA, Orders'!$C:$C,"Germany",'MAIN DATA, Orders'!$Q:$Q,$A28,'MAIN DATA, Orders'!$X:$X,"0",'MAIN DATA, Orders'!$Z:$Z,"Germany")/1000000000)</f>
        <v>0</v>
      </c>
      <c r="D28" s="61">
        <f>(SUMIFS('MAIN DATA, Orders'!$M:$M,'MAIN DATA, Orders'!$C:$C,"Germany",'MAIN DATA, Orders'!$Q:$Q,$A28,'MAIN DATA, Orders'!$X:$X,"1")/1000000000)</f>
        <v>0</v>
      </c>
      <c r="E28" s="61">
        <f>(SUMIFS('MAIN DATA, Orders'!$M:$M,'MAIN DATA, Orders'!$C:$C,"Germany",'MAIN DATA, Orders'!$Q:$Q,$A28,'MAIN DATA, Orders'!$U:$U,"1",'MAIN DATA, Orders'!$X:$X,"0",'MAIN DATA, Orders'!$Z:$Z,"&lt;&gt;Germany")/1000000000)</f>
        <v>0</v>
      </c>
      <c r="F28" s="61">
        <f>(SUMIFS('MAIN DATA, Orders'!$M:$M,'MAIN DATA, Orders'!$C:$C,"Germany",'MAIN DATA, Orders'!$Q:$Q,$A28,'MAIN DATA, Orders'!$U:$U,"0",'MAIN DATA, Orders'!$X:$X,"0")/1000000000)</f>
        <v>0</v>
      </c>
    </row>
    <row r="29" spans="1:6">
      <c r="A29" s="72">
        <v>23</v>
      </c>
      <c r="B29" s="68">
        <v>44501</v>
      </c>
      <c r="C29" s="61">
        <f>(SUMIFS('MAIN DATA, Orders'!$M:$M,'MAIN DATA, Orders'!$C:$C,"Germany",'MAIN DATA, Orders'!$Q:$Q,$A29,'MAIN DATA, Orders'!$X:$X,"0",'MAIN DATA, Orders'!$Z:$Z,"Germany")/1000000000)</f>
        <v>0</v>
      </c>
      <c r="D29" s="61">
        <f>(SUMIFS('MAIN DATA, Orders'!$M:$M,'MAIN DATA, Orders'!$C:$C,"Germany",'MAIN DATA, Orders'!$Q:$Q,$A29,'MAIN DATA, Orders'!$X:$X,"1")/1000000000)</f>
        <v>0</v>
      </c>
      <c r="E29" s="61">
        <f>(SUMIFS('MAIN DATA, Orders'!$M:$M,'MAIN DATA, Orders'!$C:$C,"Germany",'MAIN DATA, Orders'!$Q:$Q,$A29,'MAIN DATA, Orders'!$U:$U,"1",'MAIN DATA, Orders'!$X:$X,"0",'MAIN DATA, Orders'!$Z:$Z,"&lt;&gt;Germany")/1000000000)</f>
        <v>0</v>
      </c>
      <c r="F29" s="61">
        <f>(SUMIFS('MAIN DATA, Orders'!$M:$M,'MAIN DATA, Orders'!$C:$C,"Germany",'MAIN DATA, Orders'!$Q:$Q,$A29,'MAIN DATA, Orders'!$U:$U,"0",'MAIN DATA, Orders'!$X:$X,"0")/1000000000)</f>
        <v>0</v>
      </c>
    </row>
    <row r="30" spans="1:6">
      <c r="A30" s="72">
        <v>24</v>
      </c>
      <c r="B30" s="68">
        <v>44531</v>
      </c>
      <c r="C30" s="61">
        <f>(SUMIFS('MAIN DATA, Orders'!$M:$M,'MAIN DATA, Orders'!$C:$C,"Germany",'MAIN DATA, Orders'!$Q:$Q,$A30,'MAIN DATA, Orders'!$X:$X,"0",'MAIN DATA, Orders'!$Z:$Z,"Germany")/1000000000)</f>
        <v>0</v>
      </c>
      <c r="D30" s="61">
        <f>(SUMIFS('MAIN DATA, Orders'!$M:$M,'MAIN DATA, Orders'!$C:$C,"Germany",'MAIN DATA, Orders'!$Q:$Q,$A30,'MAIN DATA, Orders'!$X:$X,"1")/1000000000)</f>
        <v>0</v>
      </c>
      <c r="E30" s="61">
        <f>(SUMIFS('MAIN DATA, Orders'!$M:$M,'MAIN DATA, Orders'!$C:$C,"Germany",'MAIN DATA, Orders'!$Q:$Q,$A30,'MAIN DATA, Orders'!$U:$U,"1",'MAIN DATA, Orders'!$X:$X,"0",'MAIN DATA, Orders'!$Z:$Z,"&lt;&gt;Germany")/1000000000)</f>
        <v>0</v>
      </c>
      <c r="F30" s="61">
        <f>(SUMIFS('MAIN DATA, Orders'!$M:$M,'MAIN DATA, Orders'!$C:$C,"Germany",'MAIN DATA, Orders'!$Q:$Q,$A30,'MAIN DATA, Orders'!$U:$U,"0",'MAIN DATA, Orders'!$X:$X,"0")/1000000000)</f>
        <v>0</v>
      </c>
    </row>
    <row r="31" spans="1:6">
      <c r="A31" s="72">
        <v>25</v>
      </c>
      <c r="B31" s="68">
        <v>44562</v>
      </c>
      <c r="C31" s="61">
        <f>(SUMIFS('MAIN DATA, Orders'!$M:$M,'MAIN DATA, Orders'!$C:$C,"Germany",'MAIN DATA, Orders'!$Q:$Q,$A31,'MAIN DATA, Orders'!$X:$X,"0",'MAIN DATA, Orders'!$Z:$Z,"Germany")/1000000000)</f>
        <v>0</v>
      </c>
      <c r="D31" s="61">
        <f>(SUMIFS('MAIN DATA, Orders'!$M:$M,'MAIN DATA, Orders'!$C:$C,"Germany",'MAIN DATA, Orders'!$Q:$Q,$A31,'MAIN DATA, Orders'!$X:$X,"1")/1000000000)</f>
        <v>0</v>
      </c>
      <c r="E31" s="61">
        <f>(SUMIFS('MAIN DATA, Orders'!$M:$M,'MAIN DATA, Orders'!$C:$C,"Germany",'MAIN DATA, Orders'!$Q:$Q,$A31,'MAIN DATA, Orders'!$U:$U,"1",'MAIN DATA, Orders'!$X:$X,"0",'MAIN DATA, Orders'!$Z:$Z,"&lt;&gt;Germany")/1000000000)</f>
        <v>0</v>
      </c>
      <c r="F31" s="61">
        <f>(SUMIFS('MAIN DATA, Orders'!$M:$M,'MAIN DATA, Orders'!$C:$C,"Germany",'MAIN DATA, Orders'!$Q:$Q,$A31,'MAIN DATA, Orders'!$U:$U,"0",'MAIN DATA, Orders'!$X:$X,"0")/1000000000)</f>
        <v>0</v>
      </c>
    </row>
    <row r="32" spans="1:6">
      <c r="A32" s="72">
        <v>26</v>
      </c>
      <c r="B32" s="68">
        <v>44593</v>
      </c>
      <c r="C32" s="61">
        <f>(SUMIFS('MAIN DATA, Orders'!$M:$M,'MAIN DATA, Orders'!$C:$C,"Germany",'MAIN DATA, Orders'!$Q:$Q,$A32,'MAIN DATA, Orders'!$X:$X,"0",'MAIN DATA, Orders'!$Z:$Z,"Germany")/1000000000)</f>
        <v>0</v>
      </c>
      <c r="D32" s="61">
        <f>(SUMIFS('MAIN DATA, Orders'!$M:$M,'MAIN DATA, Orders'!$C:$C,"Germany",'MAIN DATA, Orders'!$Q:$Q,$A32,'MAIN DATA, Orders'!$X:$X,"1")/1000000000)</f>
        <v>0</v>
      </c>
      <c r="E32" s="61">
        <f>(SUMIFS('MAIN DATA, Orders'!$M:$M,'MAIN DATA, Orders'!$C:$C,"Germany",'MAIN DATA, Orders'!$Q:$Q,$A32,'MAIN DATA, Orders'!$U:$U,"1",'MAIN DATA, Orders'!$X:$X,"0",'MAIN DATA, Orders'!$Z:$Z,"&lt;&gt;Germany")/1000000000)</f>
        <v>0</v>
      </c>
      <c r="F32" s="61">
        <f>(SUMIFS('MAIN DATA, Orders'!$M:$M,'MAIN DATA, Orders'!$C:$C,"Germany",'MAIN DATA, Orders'!$Q:$Q,$A32,'MAIN DATA, Orders'!$U:$U,"0",'MAIN DATA, Orders'!$X:$X,"0")/1000000000)</f>
        <v>0</v>
      </c>
    </row>
    <row r="33" spans="1:6">
      <c r="A33" s="72">
        <v>27</v>
      </c>
      <c r="B33" s="68">
        <v>44621</v>
      </c>
      <c r="C33" s="61">
        <f>(SUMIFS('MAIN DATA, Orders'!$M:$M,'MAIN DATA, Orders'!$C:$C,"Germany",'MAIN DATA, Orders'!$Q:$Q,$A33,'MAIN DATA, Orders'!$X:$X,"0",'MAIN DATA, Orders'!$Z:$Z,"Germany")/1000000000)</f>
        <v>0</v>
      </c>
      <c r="D33" s="61">
        <f>(SUMIFS('MAIN DATA, Orders'!$M:$M,'MAIN DATA, Orders'!$C:$C,"Germany",'MAIN DATA, Orders'!$Q:$Q,$A33,'MAIN DATA, Orders'!$X:$X,"1")/1000000000)</f>
        <v>0</v>
      </c>
      <c r="E33" s="61">
        <f>(SUMIFS('MAIN DATA, Orders'!$M:$M,'MAIN DATA, Orders'!$C:$C,"Germany",'MAIN DATA, Orders'!$Q:$Q,$A33,'MAIN DATA, Orders'!$U:$U,"1",'MAIN DATA, Orders'!$X:$X,"0",'MAIN DATA, Orders'!$Z:$Z,"&lt;&gt;Germany")/1000000000)</f>
        <v>0</v>
      </c>
      <c r="F33" s="61">
        <f>(SUMIFS('MAIN DATA, Orders'!$M:$M,'MAIN DATA, Orders'!$C:$C,"Germany",'MAIN DATA, Orders'!$Q:$Q,$A33,'MAIN DATA, Orders'!$U:$U,"0",'MAIN DATA, Orders'!$X:$X,"0")/1000000000)</f>
        <v>0</v>
      </c>
    </row>
    <row r="34" spans="1:6">
      <c r="A34" s="72">
        <v>28</v>
      </c>
      <c r="B34" s="68">
        <v>44652</v>
      </c>
      <c r="C34" s="61">
        <f>(SUMIFS('MAIN DATA, Orders'!$M:$M,'MAIN DATA, Orders'!$C:$C,"Germany",'MAIN DATA, Orders'!$Q:$Q,$A34,'MAIN DATA, Orders'!$X:$X,"0",'MAIN DATA, Orders'!$Z:$Z,"Germany")/1000000000)</f>
        <v>0</v>
      </c>
      <c r="D34" s="61">
        <f>(SUMIFS('MAIN DATA, Orders'!$M:$M,'MAIN DATA, Orders'!$C:$C,"Germany",'MAIN DATA, Orders'!$Q:$Q,$A34,'MAIN DATA, Orders'!$X:$X,"1")/1000000000)</f>
        <v>0</v>
      </c>
      <c r="E34" s="61">
        <f>(SUMIFS('MAIN DATA, Orders'!$M:$M,'MAIN DATA, Orders'!$C:$C,"Germany",'MAIN DATA, Orders'!$Q:$Q,$A34,'MAIN DATA, Orders'!$U:$U,"1",'MAIN DATA, Orders'!$X:$X,"0",'MAIN DATA, Orders'!$Z:$Z,"&lt;&gt;Germany")/1000000000)</f>
        <v>0</v>
      </c>
      <c r="F34" s="61">
        <f>(SUMIFS('MAIN DATA, Orders'!$M:$M,'MAIN DATA, Orders'!$C:$C,"Germany",'MAIN DATA, Orders'!$Q:$Q,$A34,'MAIN DATA, Orders'!$U:$U,"0",'MAIN DATA, Orders'!$X:$X,"0")/1000000000)</f>
        <v>0.15</v>
      </c>
    </row>
    <row r="35" spans="1:6">
      <c r="A35" s="72">
        <v>29</v>
      </c>
      <c r="B35" s="68">
        <v>44682</v>
      </c>
      <c r="C35" s="61">
        <f>(SUMIFS('MAIN DATA, Orders'!$M:$M,'MAIN DATA, Orders'!$C:$C,"Germany",'MAIN DATA, Orders'!$Q:$Q,$A35,'MAIN DATA, Orders'!$X:$X,"0",'MAIN DATA, Orders'!$Z:$Z,"Germany")/1000000000)</f>
        <v>2.5139</v>
      </c>
      <c r="D35" s="61">
        <f>(SUMIFS('MAIN DATA, Orders'!$M:$M,'MAIN DATA, Orders'!$C:$C,"Germany",'MAIN DATA, Orders'!$Q:$Q,$A35,'MAIN DATA, Orders'!$X:$X,"1")/1000000000)</f>
        <v>0</v>
      </c>
      <c r="E35" s="61">
        <f>(SUMIFS('MAIN DATA, Orders'!$M:$M,'MAIN DATA, Orders'!$C:$C,"Germany",'MAIN DATA, Orders'!$Q:$Q,$A35,'MAIN DATA, Orders'!$U:$U,"1",'MAIN DATA, Orders'!$X:$X,"0",'MAIN DATA, Orders'!$Z:$Z,"&lt;&gt;Germany")/1000000000)</f>
        <v>0</v>
      </c>
      <c r="F35" s="61">
        <f>(SUMIFS('MAIN DATA, Orders'!$M:$M,'MAIN DATA, Orders'!$C:$C,"Germany",'MAIN DATA, Orders'!$Q:$Q,$A35,'MAIN DATA, Orders'!$U:$U,"0",'MAIN DATA, Orders'!$X:$X,"0")/1000000000)</f>
        <v>0</v>
      </c>
    </row>
    <row r="36" spans="1:6">
      <c r="A36" s="72">
        <v>30</v>
      </c>
      <c r="B36" s="68">
        <v>44713</v>
      </c>
      <c r="C36" s="61">
        <f>(SUMIFS('MAIN DATA, Orders'!$M:$M,'MAIN DATA, Orders'!$C:$C,"Germany",'MAIN DATA, Orders'!$Q:$Q,$A36,'MAIN DATA, Orders'!$X:$X,"0",'MAIN DATA, Orders'!$Z:$Z,"Germany")/1000000000)</f>
        <v>0</v>
      </c>
      <c r="D36" s="61">
        <f>(SUMIFS('MAIN DATA, Orders'!$M:$M,'MAIN DATA, Orders'!$C:$C,"Germany",'MAIN DATA, Orders'!$Q:$Q,$A36,'MAIN DATA, Orders'!$X:$X,"1")/1000000000)</f>
        <v>3.5000000000000003E-2</v>
      </c>
      <c r="E36" s="61">
        <f>(SUMIFS('MAIN DATA, Orders'!$M:$M,'MAIN DATA, Orders'!$C:$C,"Germany",'MAIN DATA, Orders'!$Q:$Q,$A36,'MAIN DATA, Orders'!$U:$U,"1",'MAIN DATA, Orders'!$X:$X,"0",'MAIN DATA, Orders'!$Z:$Z,"&lt;&gt;Germany")/1000000000)</f>
        <v>0</v>
      </c>
      <c r="F36" s="61">
        <f>(SUMIFS('MAIN DATA, Orders'!$M:$M,'MAIN DATA, Orders'!$C:$C,"Germany",'MAIN DATA, Orders'!$Q:$Q,$A36,'MAIN DATA, Orders'!$U:$U,"0",'MAIN DATA, Orders'!$X:$X,"0")/1000000000)</f>
        <v>0.10100000000000001</v>
      </c>
    </row>
    <row r="37" spans="1:6">
      <c r="A37" s="72">
        <v>31</v>
      </c>
      <c r="B37" s="68">
        <v>44743</v>
      </c>
      <c r="C37" s="61">
        <f>(SUMIFS('MAIN DATA, Orders'!$M:$M,'MAIN DATA, Orders'!$C:$C,"Germany",'MAIN DATA, Orders'!$Q:$Q,$A37,'MAIN DATA, Orders'!$X:$X,"0",'MAIN DATA, Orders'!$Z:$Z,"Germany")/1000000000)</f>
        <v>6.9321000000000002</v>
      </c>
      <c r="D37" s="61">
        <f>(SUMIFS('MAIN DATA, Orders'!$M:$M,'MAIN DATA, Orders'!$C:$C,"Germany",'MAIN DATA, Orders'!$Q:$Q,$A37,'MAIN DATA, Orders'!$X:$X,"1")/1000000000)</f>
        <v>0.24199999999999999</v>
      </c>
      <c r="E37" s="61">
        <f>(SUMIFS('MAIN DATA, Orders'!$M:$M,'MAIN DATA, Orders'!$C:$C,"Germany",'MAIN DATA, Orders'!$Q:$Q,$A37,'MAIN DATA, Orders'!$U:$U,"1",'MAIN DATA, Orders'!$X:$X,"0",'MAIN DATA, Orders'!$Z:$Z,"&lt;&gt;Germany")/1000000000)</f>
        <v>0</v>
      </c>
      <c r="F37" s="61">
        <f>(SUMIFS('MAIN DATA, Orders'!$M:$M,'MAIN DATA, Orders'!$C:$C,"Germany",'MAIN DATA, Orders'!$Q:$Q,$A37,'MAIN DATA, Orders'!$U:$U,"0",'MAIN DATA, Orders'!$X:$X,"0")/1000000000)</f>
        <v>0.34179999999999999</v>
      </c>
    </row>
    <row r="38" spans="1:6">
      <c r="A38" s="72">
        <v>32</v>
      </c>
      <c r="B38" s="68">
        <v>44774</v>
      </c>
      <c r="C38" s="61">
        <f>(SUMIFS('MAIN DATA, Orders'!$M:$M,'MAIN DATA, Orders'!$C:$C,"Germany",'MAIN DATA, Orders'!$Q:$Q,$A38,'MAIN DATA, Orders'!$X:$X,"0",'MAIN DATA, Orders'!$Z:$Z,"Germany")/1000000000)</f>
        <v>0</v>
      </c>
      <c r="D38" s="61">
        <f>(SUMIFS('MAIN DATA, Orders'!$M:$M,'MAIN DATA, Orders'!$C:$C,"Germany",'MAIN DATA, Orders'!$Q:$Q,$A38,'MAIN DATA, Orders'!$X:$X,"1")/1000000000)</f>
        <v>0</v>
      </c>
      <c r="E38" s="61">
        <f>(SUMIFS('MAIN DATA, Orders'!$M:$M,'MAIN DATA, Orders'!$C:$C,"Germany",'MAIN DATA, Orders'!$Q:$Q,$A38,'MAIN DATA, Orders'!$U:$U,"1",'MAIN DATA, Orders'!$X:$X,"0",'MAIN DATA, Orders'!$Z:$Z,"&lt;&gt;Germany")/1000000000)</f>
        <v>0</v>
      </c>
      <c r="F38" s="61">
        <f>(SUMIFS('MAIN DATA, Orders'!$M:$M,'MAIN DATA, Orders'!$C:$C,"Germany",'MAIN DATA, Orders'!$Q:$Q,$A38,'MAIN DATA, Orders'!$U:$U,"0",'MAIN DATA, Orders'!$X:$X,"0")/1000000000)</f>
        <v>0</v>
      </c>
    </row>
    <row r="39" spans="1:6">
      <c r="A39" s="72">
        <v>33</v>
      </c>
      <c r="B39" s="68">
        <v>44805</v>
      </c>
      <c r="C39" s="61">
        <f>(SUMIFS('MAIN DATA, Orders'!$M:$M,'MAIN DATA, Orders'!$C:$C,"Germany",'MAIN DATA, Orders'!$Q:$Q,$A39,'MAIN DATA, Orders'!$X:$X,"0",'MAIN DATA, Orders'!$Z:$Z,"Germany")/1000000000)</f>
        <v>0</v>
      </c>
      <c r="D39" s="61">
        <f>(SUMIFS('MAIN DATA, Orders'!$M:$M,'MAIN DATA, Orders'!$C:$C,"Germany",'MAIN DATA, Orders'!$Q:$Q,$A39,'MAIN DATA, Orders'!$X:$X,"1")/1000000000)</f>
        <v>0.63700000000000001</v>
      </c>
      <c r="E39" s="61">
        <f>(SUMIFS('MAIN DATA, Orders'!$M:$M,'MAIN DATA, Orders'!$C:$C,"Germany",'MAIN DATA, Orders'!$Q:$Q,$A39,'MAIN DATA, Orders'!$U:$U,"1",'MAIN DATA, Orders'!$X:$X,"0",'MAIN DATA, Orders'!$Z:$Z,"&lt;&gt;Germany")/1000000000)</f>
        <v>0</v>
      </c>
      <c r="F39" s="61">
        <f>(SUMIFS('MAIN DATA, Orders'!$M:$M,'MAIN DATA, Orders'!$C:$C,"Germany",'MAIN DATA, Orders'!$Q:$Q,$A39,'MAIN DATA, Orders'!$U:$U,"0",'MAIN DATA, Orders'!$X:$X,"0")/1000000000)</f>
        <v>0</v>
      </c>
    </row>
    <row r="40" spans="1:6">
      <c r="A40" s="72">
        <v>34</v>
      </c>
      <c r="B40" s="68">
        <v>44835</v>
      </c>
      <c r="C40" s="61">
        <f>(SUMIFS('MAIN DATA, Orders'!$M:$M,'MAIN DATA, Orders'!$C:$C,"Germany",'MAIN DATA, Orders'!$Q:$Q,$A40,'MAIN DATA, Orders'!$X:$X,"0",'MAIN DATA, Orders'!$Z:$Z,"Germany")/1000000000)</f>
        <v>9.74E-2</v>
      </c>
      <c r="D40" s="61">
        <f>(SUMIFS('MAIN DATA, Orders'!$M:$M,'MAIN DATA, Orders'!$C:$C,"Germany",'MAIN DATA, Orders'!$Q:$Q,$A40,'MAIN DATA, Orders'!$X:$X,"1")/1000000000)</f>
        <v>0</v>
      </c>
      <c r="E40" s="61">
        <f>(SUMIFS('MAIN DATA, Orders'!$M:$M,'MAIN DATA, Orders'!$C:$C,"Germany",'MAIN DATA, Orders'!$Q:$Q,$A40,'MAIN DATA, Orders'!$U:$U,"1",'MAIN DATA, Orders'!$X:$X,"0",'MAIN DATA, Orders'!$Z:$Z,"&lt;&gt;Germany")/1000000000)</f>
        <v>0</v>
      </c>
      <c r="F40" s="61">
        <f>(SUMIFS('MAIN DATA, Orders'!$M:$M,'MAIN DATA, Orders'!$C:$C,"Germany",'MAIN DATA, Orders'!$Q:$Q,$A40,'MAIN DATA, Orders'!$U:$U,"0",'MAIN DATA, Orders'!$X:$X,"0")/1000000000)</f>
        <v>0</v>
      </c>
    </row>
    <row r="41" spans="1:6">
      <c r="A41" s="72">
        <v>35</v>
      </c>
      <c r="B41" s="68">
        <v>44866</v>
      </c>
      <c r="C41" s="61">
        <f>(SUMIFS('MAIN DATA, Orders'!$M:$M,'MAIN DATA, Orders'!$C:$C,"Germany",'MAIN DATA, Orders'!$Q:$Q,$A41,'MAIN DATA, Orders'!$X:$X,"0",'MAIN DATA, Orders'!$Z:$Z,"Germany")/1000000000)</f>
        <v>0.05</v>
      </c>
      <c r="D41" s="61">
        <f>(SUMIFS('MAIN DATA, Orders'!$M:$M,'MAIN DATA, Orders'!$C:$C,"Germany",'MAIN DATA, Orders'!$Q:$Q,$A41,'MAIN DATA, Orders'!$X:$X,"1")/1000000000)</f>
        <v>2.3199999999999998E-2</v>
      </c>
      <c r="E41" s="61">
        <f>(SUMIFS('MAIN DATA, Orders'!$M:$M,'MAIN DATA, Orders'!$C:$C,"Germany",'MAIN DATA, Orders'!$Q:$Q,$A41,'MAIN DATA, Orders'!$U:$U,"1",'MAIN DATA, Orders'!$X:$X,"0",'MAIN DATA, Orders'!$Z:$Z,"&lt;&gt;Germany")/1000000000)</f>
        <v>0</v>
      </c>
      <c r="F41" s="61">
        <f>(SUMIFS('MAIN DATA, Orders'!$M:$M,'MAIN DATA, Orders'!$C:$C,"Germany",'MAIN DATA, Orders'!$Q:$Q,$A41,'MAIN DATA, Orders'!$U:$U,"0",'MAIN DATA, Orders'!$X:$X,"0")/1000000000)</f>
        <v>0</v>
      </c>
    </row>
    <row r="42" spans="1:6">
      <c r="A42" s="72">
        <v>36</v>
      </c>
      <c r="B42" s="68">
        <v>44896</v>
      </c>
      <c r="C42" s="61">
        <f>(SUMIFS('MAIN DATA, Orders'!$M:$M,'MAIN DATA, Orders'!$C:$C,"Germany",'MAIN DATA, Orders'!$Q:$Q,$A42,'MAIN DATA, Orders'!$X:$X,"0",'MAIN DATA, Orders'!$Z:$Z,"Germany")/1000000000)</f>
        <v>1.179</v>
      </c>
      <c r="D42" s="61">
        <f>(SUMIFS('MAIN DATA, Orders'!$M:$M,'MAIN DATA, Orders'!$C:$C,"Germany",'MAIN DATA, Orders'!$Q:$Q,$A42,'MAIN DATA, Orders'!$X:$X,"1")/1000000000)</f>
        <v>0</v>
      </c>
      <c r="E42" s="61">
        <f>(SUMIFS('MAIN DATA, Orders'!$M:$M,'MAIN DATA, Orders'!$C:$C,"Germany",'MAIN DATA, Orders'!$Q:$Q,$A42,'MAIN DATA, Orders'!$U:$U,"1",'MAIN DATA, Orders'!$X:$X,"0",'MAIN DATA, Orders'!$Z:$Z,"&lt;&gt;Germany")/1000000000)</f>
        <v>0.40500000000000003</v>
      </c>
      <c r="F42" s="61">
        <f>(SUMIFS('MAIN DATA, Orders'!$M:$M,'MAIN DATA, Orders'!$C:$C,"Germany",'MAIN DATA, Orders'!$Q:$Q,$A42,'MAIN DATA, Orders'!$U:$U,"0",'MAIN DATA, Orders'!$X:$X,"0")/1000000000)</f>
        <v>8.3000000000000007</v>
      </c>
    </row>
    <row r="43" spans="1:6">
      <c r="A43" s="72">
        <v>37</v>
      </c>
      <c r="B43" s="68">
        <v>44927</v>
      </c>
      <c r="C43" s="61">
        <f>(SUMIFS('MAIN DATA, Orders'!$M:$M,'MAIN DATA, Orders'!$C:$C,"Germany",'MAIN DATA, Orders'!$Q:$Q,$A43,'MAIN DATA, Orders'!$X:$X,"0",'MAIN DATA, Orders'!$Z:$Z,"Germany")/1000000000)</f>
        <v>0</v>
      </c>
      <c r="D43" s="61">
        <f>(SUMIFS('MAIN DATA, Orders'!$M:$M,'MAIN DATA, Orders'!$C:$C,"Germany",'MAIN DATA, Orders'!$Q:$Q,$A43,'MAIN DATA, Orders'!$X:$X,"1")/1000000000)</f>
        <v>0</v>
      </c>
      <c r="E43" s="61">
        <f>(SUMIFS('MAIN DATA, Orders'!$M:$M,'MAIN DATA, Orders'!$C:$C,"Germany",'MAIN DATA, Orders'!$Q:$Q,$A43,'MAIN DATA, Orders'!$U:$U,"1",'MAIN DATA, Orders'!$X:$X,"0",'MAIN DATA, Orders'!$Z:$Z,"&lt;&gt;Germany")/1000000000)</f>
        <v>0</v>
      </c>
      <c r="F43" s="61">
        <f>(SUMIFS('MAIN DATA, Orders'!$M:$M,'MAIN DATA, Orders'!$C:$C,"Germany",'MAIN DATA, Orders'!$Q:$Q,$A43,'MAIN DATA, Orders'!$U:$U,"0",'MAIN DATA, Orders'!$X:$X,"0")/1000000000)</f>
        <v>0</v>
      </c>
    </row>
    <row r="44" spans="1:6">
      <c r="A44" s="72">
        <v>38</v>
      </c>
      <c r="B44" s="68">
        <v>44958</v>
      </c>
      <c r="C44" s="61">
        <f>(SUMIFS('MAIN DATA, Orders'!$M:$M,'MAIN DATA, Orders'!$C:$C,"Germany",'MAIN DATA, Orders'!$Q:$Q,$A44,'MAIN DATA, Orders'!$X:$X,"0",'MAIN DATA, Orders'!$Z:$Z,"Germany")/1000000000)</f>
        <v>0.2208</v>
      </c>
      <c r="D44" s="61">
        <f>(SUMIFS('MAIN DATA, Orders'!$M:$M,'MAIN DATA, Orders'!$C:$C,"Germany",'MAIN DATA, Orders'!$Q:$Q,$A44,'MAIN DATA, Orders'!$X:$X,"1")/1000000000)</f>
        <v>0</v>
      </c>
      <c r="E44" s="61">
        <f>(SUMIFS('MAIN DATA, Orders'!$M:$M,'MAIN DATA, Orders'!$C:$C,"Germany",'MAIN DATA, Orders'!$Q:$Q,$A44,'MAIN DATA, Orders'!$U:$U,"1",'MAIN DATA, Orders'!$X:$X,"0",'MAIN DATA, Orders'!$Z:$Z,"&lt;&gt;Germany")/1000000000)</f>
        <v>0</v>
      </c>
      <c r="F44" s="61">
        <f>(SUMIFS('MAIN DATA, Orders'!$M:$M,'MAIN DATA, Orders'!$C:$C,"Germany",'MAIN DATA, Orders'!$Q:$Q,$A44,'MAIN DATA, Orders'!$U:$U,"0",'MAIN DATA, Orders'!$X:$X,"0")/1000000000)</f>
        <v>0</v>
      </c>
    </row>
    <row r="45" spans="1:6">
      <c r="A45" s="72">
        <v>39</v>
      </c>
      <c r="B45" s="68">
        <v>44986</v>
      </c>
      <c r="C45" s="61">
        <f>(SUMIFS('MAIN DATA, Orders'!$M:$M,'MAIN DATA, Orders'!$C:$C,"Germany",'MAIN DATA, Orders'!$Q:$Q,$A45,'MAIN DATA, Orders'!$X:$X,"0",'MAIN DATA, Orders'!$Z:$Z,"Germany")/1000000000)</f>
        <v>0.22600000000000001</v>
      </c>
      <c r="D45" s="61">
        <f>(SUMIFS('MAIN DATA, Orders'!$M:$M,'MAIN DATA, Orders'!$C:$C,"Germany",'MAIN DATA, Orders'!$Q:$Q,$A45,'MAIN DATA, Orders'!$X:$X,"1")/1000000000)</f>
        <v>1.1484000000000001</v>
      </c>
      <c r="E45" s="61">
        <f>(SUMIFS('MAIN DATA, Orders'!$M:$M,'MAIN DATA, Orders'!$C:$C,"Germany",'MAIN DATA, Orders'!$Q:$Q,$A45,'MAIN DATA, Orders'!$U:$U,"1",'MAIN DATA, Orders'!$X:$X,"0",'MAIN DATA, Orders'!$Z:$Z,"&lt;&gt;Germany")/1000000000)</f>
        <v>0</v>
      </c>
      <c r="F45" s="61">
        <f>(SUMIFS('MAIN DATA, Orders'!$M:$M,'MAIN DATA, Orders'!$C:$C,"Germany",'MAIN DATA, Orders'!$Q:$Q,$A45,'MAIN DATA, Orders'!$U:$U,"0",'MAIN DATA, Orders'!$X:$X,"0")/1000000000)</f>
        <v>0</v>
      </c>
    </row>
    <row r="46" spans="1:6">
      <c r="A46" s="72">
        <v>40</v>
      </c>
      <c r="B46" s="68">
        <v>45017</v>
      </c>
      <c r="C46" s="61">
        <f>(SUMIFS('MAIN DATA, Orders'!$M:$M,'MAIN DATA, Orders'!$C:$C,"Germany",'MAIN DATA, Orders'!$Q:$Q,$A46,'MAIN DATA, Orders'!$X:$X,"0",'MAIN DATA, Orders'!$Z:$Z,"Germany")/1000000000)</f>
        <v>5.0999999999999997E-2</v>
      </c>
      <c r="D46" s="61">
        <f>(SUMIFS('MAIN DATA, Orders'!$M:$M,'MAIN DATA, Orders'!$C:$C,"Germany",'MAIN DATA, Orders'!$Q:$Q,$A46,'MAIN DATA, Orders'!$X:$X,"1")/1000000000)</f>
        <v>0.26900000000000002</v>
      </c>
      <c r="E46" s="61">
        <f>(SUMIFS('MAIN DATA, Orders'!$M:$M,'MAIN DATA, Orders'!$C:$C,"Germany",'MAIN DATA, Orders'!$Q:$Q,$A46,'MAIN DATA, Orders'!$U:$U,"1",'MAIN DATA, Orders'!$X:$X,"0",'MAIN DATA, Orders'!$Z:$Z,"&lt;&gt;Germany")/1000000000)</f>
        <v>0</v>
      </c>
      <c r="F46" s="61">
        <f>(SUMIFS('MAIN DATA, Orders'!$M:$M,'MAIN DATA, Orders'!$C:$C,"Germany",'MAIN DATA, Orders'!$Q:$Q,$A46,'MAIN DATA, Orders'!$U:$U,"0",'MAIN DATA, Orders'!$X:$X,"0")/1000000000)</f>
        <v>0</v>
      </c>
    </row>
    <row r="47" spans="1:6">
      <c r="A47" s="72">
        <v>41</v>
      </c>
      <c r="B47" s="68">
        <v>45047</v>
      </c>
      <c r="C47" s="61">
        <f>(SUMIFS('MAIN DATA, Orders'!$M:$M,'MAIN DATA, Orders'!$C:$C,"Germany",'MAIN DATA, Orders'!$Q:$Q,$A47,'MAIN DATA, Orders'!$X:$X,"0",'MAIN DATA, Orders'!$Z:$Z,"Germany")/1000000000)</f>
        <v>1.8032999999999999</v>
      </c>
      <c r="D47" s="61">
        <f>(SUMIFS('MAIN DATA, Orders'!$M:$M,'MAIN DATA, Orders'!$C:$C,"Germany",'MAIN DATA, Orders'!$Q:$Q,$A47,'MAIN DATA, Orders'!$X:$X,"1")/1000000000)</f>
        <v>0</v>
      </c>
      <c r="E47" s="61">
        <f>(SUMIFS('MAIN DATA, Orders'!$M:$M,'MAIN DATA, Orders'!$C:$C,"Germany",'MAIN DATA, Orders'!$Q:$Q,$A47,'MAIN DATA, Orders'!$U:$U,"1",'MAIN DATA, Orders'!$X:$X,"0",'MAIN DATA, Orders'!$Z:$Z,"&lt;&gt;Germany")/1000000000)</f>
        <v>0</v>
      </c>
      <c r="F47" s="61">
        <f>(SUMIFS('MAIN DATA, Orders'!$M:$M,'MAIN DATA, Orders'!$C:$C,"Germany",'MAIN DATA, Orders'!$Q:$Q,$A47,'MAIN DATA, Orders'!$U:$U,"0",'MAIN DATA, Orders'!$X:$X,"0")/1000000000)</f>
        <v>0.18</v>
      </c>
    </row>
    <row r="48" spans="1:6">
      <c r="A48" s="72">
        <v>42</v>
      </c>
      <c r="B48" s="68">
        <v>45078</v>
      </c>
      <c r="C48" s="61">
        <f>(SUMIFS('MAIN DATA, Orders'!$M:$M,'MAIN DATA, Orders'!$C:$C,"Germany",'MAIN DATA, Orders'!$Q:$Q,$A48,'MAIN DATA, Orders'!$X:$X,"0",'MAIN DATA, Orders'!$Z:$Z,"Germany")/1000000000)</f>
        <v>1.8532</v>
      </c>
      <c r="D48" s="61">
        <f>(SUMIFS('MAIN DATA, Orders'!$M:$M,'MAIN DATA, Orders'!$C:$C,"Germany",'MAIN DATA, Orders'!$Q:$Q,$A48,'MAIN DATA, Orders'!$X:$X,"1")/1000000000)</f>
        <v>0</v>
      </c>
      <c r="E48" s="61">
        <f>(SUMIFS('MAIN DATA, Orders'!$M:$M,'MAIN DATA, Orders'!$C:$C,"Germany",'MAIN DATA, Orders'!$Q:$Q,$A48,'MAIN DATA, Orders'!$U:$U,"1",'MAIN DATA, Orders'!$X:$X,"0",'MAIN DATA, Orders'!$Z:$Z,"&lt;&gt;Germany")/1000000000)</f>
        <v>0</v>
      </c>
      <c r="F48" s="61">
        <f>(SUMIFS('MAIN DATA, Orders'!$M:$M,'MAIN DATA, Orders'!$C:$C,"Germany",'MAIN DATA, Orders'!$Q:$Q,$A48,'MAIN DATA, Orders'!$U:$U,"0",'MAIN DATA, Orders'!$X:$X,"0")/1000000000)</f>
        <v>0</v>
      </c>
    </row>
    <row r="49" spans="1:8">
      <c r="A49" s="72">
        <v>43</v>
      </c>
      <c r="B49" s="68">
        <v>45108</v>
      </c>
      <c r="C49" s="61">
        <f>(SUMIFS('MAIN DATA, Orders'!$M:$M,'MAIN DATA, Orders'!$C:$C,"Germany",'MAIN DATA, Orders'!$Q:$Q,$A49,'MAIN DATA, Orders'!$X:$X,"0",'MAIN DATA, Orders'!$Z:$Z,"Germany")/1000000000)</f>
        <v>2.7376</v>
      </c>
      <c r="D49" s="61">
        <f>(SUMIFS('MAIN DATA, Orders'!$M:$M,'MAIN DATA, Orders'!$C:$C,"Germany",'MAIN DATA, Orders'!$Q:$Q,$A49,'MAIN DATA, Orders'!$X:$X,"1")/1000000000)</f>
        <v>2.7300000000000001E-2</v>
      </c>
      <c r="E49" s="61">
        <f>(SUMIFS('MAIN DATA, Orders'!$M:$M,'MAIN DATA, Orders'!$C:$C,"Germany",'MAIN DATA, Orders'!$Q:$Q,$A49,'MAIN DATA, Orders'!$U:$U,"1",'MAIN DATA, Orders'!$X:$X,"0",'MAIN DATA, Orders'!$Z:$Z,"&lt;&gt;Germany")/1000000000)</f>
        <v>0</v>
      </c>
      <c r="F49" s="61">
        <f>(SUMIFS('MAIN DATA, Orders'!$M:$M,'MAIN DATA, Orders'!$C:$C,"Germany",'MAIN DATA, Orders'!$Q:$Q,$A49,'MAIN DATA, Orders'!$U:$U,"0",'MAIN DATA, Orders'!$X:$X,"0")/1000000000)</f>
        <v>6.98</v>
      </c>
      <c r="H49" s="4"/>
    </row>
    <row r="50" spans="1:8">
      <c r="A50" s="72">
        <v>44</v>
      </c>
      <c r="B50" s="68">
        <v>45139</v>
      </c>
      <c r="C50" s="61">
        <f>(SUMIFS('MAIN DATA, Orders'!$M:$M,'MAIN DATA, Orders'!$C:$C,"Germany",'MAIN DATA, Orders'!$Q:$Q,$A50,'MAIN DATA, Orders'!$X:$X,"0",'MAIN DATA, Orders'!$Z:$Z,"Germany")/1000000000)</f>
        <v>0</v>
      </c>
      <c r="D50" s="61">
        <f>(SUMIFS('MAIN DATA, Orders'!$M:$M,'MAIN DATA, Orders'!$C:$C,"Germany",'MAIN DATA, Orders'!$Q:$Q,$A50,'MAIN DATA, Orders'!$X:$X,"1")/1000000000)</f>
        <v>0</v>
      </c>
      <c r="E50" s="61">
        <f>(SUMIFS('MAIN DATA, Orders'!$M:$M,'MAIN DATA, Orders'!$C:$C,"Germany",'MAIN DATA, Orders'!$Q:$Q,$A50,'MAIN DATA, Orders'!$U:$U,"1",'MAIN DATA, Orders'!$X:$X,"0",'MAIN DATA, Orders'!$Z:$Z,"&lt;&gt;Germany")/1000000000)</f>
        <v>0</v>
      </c>
      <c r="F50" s="61">
        <f>(SUMIFS('MAIN DATA, Orders'!$M:$M,'MAIN DATA, Orders'!$C:$C,"Germany",'MAIN DATA, Orders'!$Q:$Q,$A50,'MAIN DATA, Orders'!$U:$U,"0",'MAIN DATA, Orders'!$X:$X,"0")/1000000000)</f>
        <v>0</v>
      </c>
      <c r="H50" s="4"/>
    </row>
    <row r="51" spans="1:8">
      <c r="A51" s="72">
        <v>45</v>
      </c>
      <c r="B51" s="68">
        <v>45170</v>
      </c>
      <c r="C51" s="61">
        <f>(SUMIFS('MAIN DATA, Orders'!$M:$M,'MAIN DATA, Orders'!$C:$C,"Germany",'MAIN DATA, Orders'!$Q:$Q,$A51,'MAIN DATA, Orders'!$X:$X,"0",'MAIN DATA, Orders'!$Z:$Z,"Germany")/1000000000)</f>
        <v>0.23860000000000001</v>
      </c>
      <c r="D51" s="61">
        <f>(SUMIFS('MAIN DATA, Orders'!$M:$M,'MAIN DATA, Orders'!$C:$C,"Germany",'MAIN DATA, Orders'!$Q:$Q,$A51,'MAIN DATA, Orders'!$X:$X,"1")/1000000000)</f>
        <v>0.19769999999999999</v>
      </c>
      <c r="E51" s="61">
        <f>(SUMIFS('MAIN DATA, Orders'!$M:$M,'MAIN DATA, Orders'!$C:$C,"Germany",'MAIN DATA, Orders'!$Q:$Q,$A51,'MAIN DATA, Orders'!$U:$U,"1",'MAIN DATA, Orders'!$X:$X,"0",'MAIN DATA, Orders'!$Z:$Z,"&lt;&gt;Germany")/1000000000)</f>
        <v>0</v>
      </c>
      <c r="F51" s="61">
        <f>(SUMIFS('MAIN DATA, Orders'!$M:$M,'MAIN DATA, Orders'!$C:$C,"Germany",'MAIN DATA, Orders'!$Q:$Q,$A51,'MAIN DATA, Orders'!$U:$U,"0",'MAIN DATA, Orders'!$X:$X,"0")/1000000000)</f>
        <v>0</v>
      </c>
      <c r="H51" s="4"/>
    </row>
    <row r="52" spans="1:8">
      <c r="A52" s="72">
        <v>46</v>
      </c>
      <c r="B52" s="68">
        <v>45200</v>
      </c>
      <c r="C52" s="61">
        <f>(SUMIFS('MAIN DATA, Orders'!$M:$M,'MAIN DATA, Orders'!$C:$C,"Germany",'MAIN DATA, Orders'!$Q:$Q,$A52,'MAIN DATA, Orders'!$X:$X,"0",'MAIN DATA, Orders'!$Z:$Z,"Germany")/1000000000)</f>
        <v>0.19800000000000001</v>
      </c>
      <c r="D52" s="61">
        <f>(SUMIFS('MAIN DATA, Orders'!$M:$M,'MAIN DATA, Orders'!$C:$C,"Germany",'MAIN DATA, Orders'!$Q:$Q,$A52,'MAIN DATA, Orders'!$X:$X,"1")/1000000000)</f>
        <v>4</v>
      </c>
      <c r="E52" s="61">
        <f>(SUMIFS('MAIN DATA, Orders'!$M:$M,'MAIN DATA, Orders'!$C:$C,"Germany",'MAIN DATA, Orders'!$Q:$Q,$A52,'MAIN DATA, Orders'!$U:$U,"1",'MAIN DATA, Orders'!$X:$X,"0",'MAIN DATA, Orders'!$Z:$Z,"&lt;&gt;Germany")/1000000000)</f>
        <v>0</v>
      </c>
      <c r="F52" s="61">
        <f>(SUMIFS('MAIN DATA, Orders'!$M:$M,'MAIN DATA, Orders'!$C:$C,"Germany",'MAIN DATA, Orders'!$Q:$Q,$A52,'MAIN DATA, Orders'!$U:$U,"0",'MAIN DATA, Orders'!$X:$X,"0")/1000000000)</f>
        <v>9.1999999999999998E-2</v>
      </c>
      <c r="H52" s="4"/>
    </row>
    <row r="53" spans="1:8">
      <c r="A53" s="72">
        <v>47</v>
      </c>
      <c r="B53" s="68">
        <v>45231</v>
      </c>
      <c r="C53" s="61">
        <f>(SUMIFS('MAIN DATA, Orders'!$M:$M,'MAIN DATA, Orders'!$C:$C,"Germany",'MAIN DATA, Orders'!$Q:$Q,$A53,'MAIN DATA, Orders'!$X:$X,"0",'MAIN DATA, Orders'!$Z:$Z,"Germany")/1000000000)</f>
        <v>13.7913</v>
      </c>
      <c r="D53" s="61">
        <f>(SUMIFS('MAIN DATA, Orders'!$M:$M,'MAIN DATA, Orders'!$C:$C,"Germany",'MAIN DATA, Orders'!$Q:$Q,$A53,'MAIN DATA, Orders'!$X:$X,"1")/1000000000)</f>
        <v>5.8999999999999997E-2</v>
      </c>
      <c r="E53" s="61">
        <f>(SUMIFS('MAIN DATA, Orders'!$M:$M,'MAIN DATA, Orders'!$C:$C,"Germany",'MAIN DATA, Orders'!$Q:$Q,$A53,'MAIN DATA, Orders'!$U:$U,"1",'MAIN DATA, Orders'!$X:$X,"0",'MAIN DATA, Orders'!$Z:$Z,"&lt;&gt;Germany")/1000000000)</f>
        <v>0</v>
      </c>
      <c r="F53" s="61">
        <f>(SUMIFS('MAIN DATA, Orders'!$M:$M,'MAIN DATA, Orders'!$C:$C,"Germany",'MAIN DATA, Orders'!$Q:$Q,$A53,'MAIN DATA, Orders'!$U:$U,"0",'MAIN DATA, Orders'!$X:$X,"0")/1000000000)</f>
        <v>1.1000000000000001</v>
      </c>
      <c r="H53" s="4"/>
    </row>
    <row r="54" spans="1:8">
      <c r="A54" s="72">
        <v>48</v>
      </c>
      <c r="B54" s="68">
        <v>45261</v>
      </c>
      <c r="C54" s="61">
        <f>(SUMIFS('MAIN DATA, Orders'!$M:$M,'MAIN DATA, Orders'!$C:$C,"Germany",'MAIN DATA, Orders'!$Q:$Q,$A54,'MAIN DATA, Orders'!$X:$X,"0",'MAIN DATA, Orders'!$Z:$Z,"Germany")/1000000000)</f>
        <v>0.13458000000000001</v>
      </c>
      <c r="D54" s="61">
        <f>(SUMIFS('MAIN DATA, Orders'!$M:$M,'MAIN DATA, Orders'!$C:$C,"Germany",'MAIN DATA, Orders'!$Q:$Q,$A54,'MAIN DATA, Orders'!$X:$X,"1")/1000000000)</f>
        <v>5.8388999999999998</v>
      </c>
      <c r="E54" s="61">
        <f>(SUMIFS('MAIN DATA, Orders'!$M:$M,'MAIN DATA, Orders'!$C:$C,"Germany",'MAIN DATA, Orders'!$Q:$Q,$A54,'MAIN DATA, Orders'!$U:$U,"1",'MAIN DATA, Orders'!$X:$X,"0",'MAIN DATA, Orders'!$Z:$Z,"&lt;&gt;Germany")/1000000000)</f>
        <v>0.27800000000000002</v>
      </c>
      <c r="F54" s="61">
        <f>(SUMIFS('MAIN DATA, Orders'!$M:$M,'MAIN DATA, Orders'!$C:$C,"Germany",'MAIN DATA, Orders'!$Q:$Q,$A54,'MAIN DATA, Orders'!$U:$U,"0",'MAIN DATA, Orders'!$X:$X,"0")/1000000000)</f>
        <v>0</v>
      </c>
      <c r="H54" s="4"/>
    </row>
    <row r="55" spans="1:8">
      <c r="A55" s="72">
        <v>49</v>
      </c>
      <c r="B55" s="68">
        <v>45292</v>
      </c>
      <c r="C55" s="61">
        <f>(SUMIFS('MAIN DATA, Orders'!$M:$M,'MAIN DATA, Orders'!$C:$C,"Germany",'MAIN DATA, Orders'!$Q:$Q,$A55,'MAIN DATA, Orders'!$X:$X,"0",'MAIN DATA, Orders'!$Z:$Z,"Germany")/1000000000)</f>
        <v>1.23</v>
      </c>
      <c r="D55" s="61">
        <f>(SUMIFS('MAIN DATA, Orders'!$M:$M,'MAIN DATA, Orders'!$C:$C,"Germany",'MAIN DATA, Orders'!$Q:$Q,$A55,'MAIN DATA, Orders'!$X:$X,"1")/1000000000)</f>
        <v>0</v>
      </c>
      <c r="E55" s="61">
        <f>(SUMIFS('MAIN DATA, Orders'!$M:$M,'MAIN DATA, Orders'!$C:$C,"Germany",'MAIN DATA, Orders'!$Q:$Q,$A55,'MAIN DATA, Orders'!$U:$U,"1",'MAIN DATA, Orders'!$X:$X,"0",'MAIN DATA, Orders'!$Z:$Z,"&lt;&gt;Germany")/1000000000)</f>
        <v>0</v>
      </c>
      <c r="F55" s="61">
        <f>(SUMIFS('MAIN DATA, Orders'!$M:$M,'MAIN DATA, Orders'!$C:$C,"Germany",'MAIN DATA, Orders'!$Q:$Q,$A55,'MAIN DATA, Orders'!$U:$U,"0",'MAIN DATA, Orders'!$X:$X,"0")/1000000000)</f>
        <v>0</v>
      </c>
      <c r="H55" s="4"/>
    </row>
    <row r="56" spans="1:8">
      <c r="A56" s="72">
        <v>50</v>
      </c>
      <c r="B56" s="68">
        <v>45323</v>
      </c>
      <c r="C56" s="61">
        <f>(SUMIFS('MAIN DATA, Orders'!$M:$M,'MAIN DATA, Orders'!$C:$C,"Germany",'MAIN DATA, Orders'!$Q:$Q,$A56,'MAIN DATA, Orders'!$X:$X,"0",'MAIN DATA, Orders'!$Z:$Z,"Germany")/1000000000)</f>
        <v>2.8490000000000002</v>
      </c>
      <c r="D56" s="61">
        <f>(SUMIFS('MAIN DATA, Orders'!$M:$M,'MAIN DATA, Orders'!$C:$C,"Germany",'MAIN DATA, Orders'!$Q:$Q,$A56,'MAIN DATA, Orders'!$X:$X,"1")/1000000000)</f>
        <v>0</v>
      </c>
      <c r="E56" s="61">
        <f>(SUMIFS('MAIN DATA, Orders'!$M:$M,'MAIN DATA, Orders'!$C:$C,"Germany",'MAIN DATA, Orders'!$Q:$Q,$A56,'MAIN DATA, Orders'!$U:$U,"1",'MAIN DATA, Orders'!$X:$X,"0",'MAIN DATA, Orders'!$Z:$Z,"&lt;&gt;Germany")/1000000000)</f>
        <v>0</v>
      </c>
      <c r="F56" s="61">
        <f>(SUMIFS('MAIN DATA, Orders'!$M:$M,'MAIN DATA, Orders'!$C:$C,"Germany",'MAIN DATA, Orders'!$Q:$Q,$A56,'MAIN DATA, Orders'!$U:$U,"0",'MAIN DATA, Orders'!$X:$X,"0")/1000000000)</f>
        <v>0</v>
      </c>
      <c r="H56" s="4"/>
    </row>
    <row r="57" spans="1:8">
      <c r="A57" s="72">
        <v>51</v>
      </c>
      <c r="B57" s="68">
        <v>45352</v>
      </c>
      <c r="C57" s="61">
        <f>(SUMIFS('MAIN DATA, Orders'!$M:$M,'MAIN DATA, Orders'!$C:$C,"Germany",'MAIN DATA, Orders'!$Q:$Q,$A57,'MAIN DATA, Orders'!$X:$X,"0",'MAIN DATA, Orders'!$Z:$Z,"Germany")/1000000000)</f>
        <v>2.7679</v>
      </c>
      <c r="D57" s="61">
        <f>(SUMIFS('MAIN DATA, Orders'!$M:$M,'MAIN DATA, Orders'!$C:$C,"Germany",'MAIN DATA, Orders'!$Q:$Q,$A57,'MAIN DATA, Orders'!$X:$X,"1")/1000000000)</f>
        <v>0.26400000000000001</v>
      </c>
      <c r="E57" s="61">
        <f>(SUMIFS('MAIN DATA, Orders'!$M:$M,'MAIN DATA, Orders'!$C:$C,"Germany",'MAIN DATA, Orders'!$Q:$Q,$A57,'MAIN DATA, Orders'!$U:$U,"1",'MAIN DATA, Orders'!$X:$X,"0",'MAIN DATA, Orders'!$Z:$Z,"&lt;&gt;Germany")/1000000000)</f>
        <v>0</v>
      </c>
      <c r="F57" s="61">
        <f>(SUMIFS('MAIN DATA, Orders'!$M:$M,'MAIN DATA, Orders'!$C:$C,"Germany",'MAIN DATA, Orders'!$Q:$Q,$A57,'MAIN DATA, Orders'!$U:$U,"0",'MAIN DATA, Orders'!$X:$X,"0")/1000000000)</f>
        <v>1.4</v>
      </c>
      <c r="H57" s="4"/>
    </row>
    <row r="58" spans="1:8">
      <c r="A58" s="72">
        <v>52</v>
      </c>
      <c r="B58" s="68">
        <v>45383</v>
      </c>
      <c r="C58" s="61">
        <f>(SUMIFS('MAIN DATA, Orders'!$M:$M,'MAIN DATA, Orders'!$C:$C,"Germany",'MAIN DATA, Orders'!$Q:$Q,$A58,'MAIN DATA, Orders'!$X:$X,"0",'MAIN DATA, Orders'!$Z:$Z,"Germany")/1000000000)</f>
        <v>0.17599999999999999</v>
      </c>
      <c r="D58" s="61">
        <f>(SUMIFS('MAIN DATA, Orders'!$M:$M,'MAIN DATA, Orders'!$C:$C,"Germany",'MAIN DATA, Orders'!$Q:$Q,$A58,'MAIN DATA, Orders'!$X:$X,"1")/1000000000)</f>
        <v>0.41099999999999998</v>
      </c>
      <c r="E58" s="61">
        <f>(SUMIFS('MAIN DATA, Orders'!$M:$M,'MAIN DATA, Orders'!$C:$C,"Germany",'MAIN DATA, Orders'!$Q:$Q,$A58,'MAIN DATA, Orders'!$U:$U,"1",'MAIN DATA, Orders'!$X:$X,"0",'MAIN DATA, Orders'!$Z:$Z,"&lt;&gt;Germany")/1000000000)</f>
        <v>0</v>
      </c>
      <c r="F58" s="61">
        <f>(SUMIFS('MAIN DATA, Orders'!$M:$M,'MAIN DATA, Orders'!$C:$C,"Germany",'MAIN DATA, Orders'!$Q:$Q,$A58,'MAIN DATA, Orders'!$U:$U,"0",'MAIN DATA, Orders'!$X:$X,"0")/1000000000)</f>
        <v>0</v>
      </c>
      <c r="H58" s="4"/>
    </row>
    <row r="59" spans="1:8">
      <c r="A59" s="72">
        <v>53</v>
      </c>
      <c r="B59" s="68">
        <v>45413</v>
      </c>
      <c r="C59" s="61">
        <f>(SUMIFS('MAIN DATA, Orders'!$M:$M,'MAIN DATA, Orders'!$C:$C,"Germany",'MAIN DATA, Orders'!$Q:$Q,$A59,'MAIN DATA, Orders'!$X:$X,"0",'MAIN DATA, Orders'!$Z:$Z,"Germany")/1000000000)</f>
        <v>0.32475999999999999</v>
      </c>
      <c r="D59" s="61">
        <f>(SUMIFS('MAIN DATA, Orders'!$M:$M,'MAIN DATA, Orders'!$C:$C,"Germany",'MAIN DATA, Orders'!$Q:$Q,$A59,'MAIN DATA, Orders'!$X:$X,"1")/1000000000)</f>
        <v>0</v>
      </c>
      <c r="E59" s="61">
        <f>(SUMIFS('MAIN DATA, Orders'!$M:$M,'MAIN DATA, Orders'!$C:$C,"Germany",'MAIN DATA, Orders'!$Q:$Q,$A59,'MAIN DATA, Orders'!$U:$U,"1",'MAIN DATA, Orders'!$X:$X,"0",'MAIN DATA, Orders'!$Z:$Z,"&lt;&gt;Germany")/1000000000)</f>
        <v>0</v>
      </c>
      <c r="F59" s="61">
        <f>(SUMIFS('MAIN DATA, Orders'!$M:$M,'MAIN DATA, Orders'!$C:$C,"Germany",'MAIN DATA, Orders'!$Q:$Q,$A59,'MAIN DATA, Orders'!$U:$U,"0",'MAIN DATA, Orders'!$X:$X,"0")/1000000000)</f>
        <v>0.17799999999999999</v>
      </c>
    </row>
    <row r="60" spans="1:8">
      <c r="A60" s="72">
        <v>54</v>
      </c>
      <c r="B60" s="68">
        <v>45444</v>
      </c>
      <c r="C60" s="61">
        <f>(SUMIFS('MAIN DATA, Orders'!$M:$M,'MAIN DATA, Orders'!$C:$C,"Germany",'MAIN DATA, Orders'!$Q:$Q,$A60,'MAIN DATA, Orders'!$X:$X,"0",'MAIN DATA, Orders'!$Z:$Z,"Germany")/1000000000)</f>
        <v>4.4130000000000003</v>
      </c>
      <c r="D60" s="61">
        <f>(SUMIFS('MAIN DATA, Orders'!$M:$M,'MAIN DATA, Orders'!$C:$C,"Germany",'MAIN DATA, Orders'!$Q:$Q,$A60,'MAIN DATA, Orders'!$X:$X,"1")/1000000000)</f>
        <v>4.1689999999999996</v>
      </c>
      <c r="E60" s="61">
        <f>(SUMIFS('MAIN DATA, Orders'!$M:$M,'MAIN DATA, Orders'!$C:$C,"Germany",'MAIN DATA, Orders'!$Q:$Q,$A60,'MAIN DATA, Orders'!$U:$U,"1",'MAIN DATA, Orders'!$X:$X,"0",'MAIN DATA, Orders'!$Z:$Z,"&lt;&gt;Germany")/1000000000)</f>
        <v>0</v>
      </c>
      <c r="F60" s="61">
        <f>(SUMIFS('MAIN DATA, Orders'!$M:$M,'MAIN DATA, Orders'!$C:$C,"Germany",'MAIN DATA, Orders'!$Q:$Q,$A60,'MAIN DATA, Orders'!$U:$U,"0",'MAIN DATA, Orders'!$X:$X,"0")/1000000000)</f>
        <v>0.62</v>
      </c>
    </row>
    <row r="61" spans="1:8">
      <c r="A61" s="72">
        <v>55</v>
      </c>
      <c r="B61" s="155">
        <v>45474</v>
      </c>
      <c r="C61" s="159">
        <f>(SUMIFS('MAIN DATA, Orders'!$M:$M,'MAIN DATA, Orders'!$C:$C,"Germany",'MAIN DATA, Orders'!$Q:$Q,$A61,'MAIN DATA, Orders'!$X:$X,"0",'MAIN DATA, Orders'!$Z:$Z,"Germany")/1000000000)</f>
        <v>4.2670000000000003</v>
      </c>
      <c r="D61" s="159">
        <f>(SUMIFS('MAIN DATA, Orders'!$M:$M,'MAIN DATA, Orders'!$C:$C,"Germany",'MAIN DATA, Orders'!$Q:$Q,$A61,'MAIN DATA, Orders'!$X:$X,"1")/1000000000)</f>
        <v>0</v>
      </c>
      <c r="E61" s="159">
        <f>(SUMIFS('MAIN DATA, Orders'!$M:$M,'MAIN DATA, Orders'!$C:$C,"Germany",'MAIN DATA, Orders'!$Q:$Q,$A61,'MAIN DATA, Orders'!$U:$U,"1",'MAIN DATA, Orders'!$X:$X,"0",'MAIN DATA, Orders'!$Z:$Z,"&lt;&gt;Germany")/1000000000)</f>
        <v>0</v>
      </c>
      <c r="F61" s="159">
        <f>(SUMIFS('MAIN DATA, Orders'!$M:$M,'MAIN DATA, Orders'!$C:$C,"Germany",'MAIN DATA, Orders'!$Q:$Q,$A61,'MAIN DATA, Orders'!$U:$U,"0",'MAIN DATA, Orders'!$X:$X,"0")/1000000000)</f>
        <v>1.6</v>
      </c>
    </row>
    <row r="62" spans="1:8">
      <c r="A62" s="199"/>
      <c r="B62" s="199"/>
      <c r="C62" s="199"/>
      <c r="D62" s="199"/>
      <c r="E62" s="199"/>
      <c r="F62" s="199"/>
    </row>
    <row r="63" spans="1:8">
      <c r="A63" s="199"/>
      <c r="B63" s="19" t="s">
        <v>1431</v>
      </c>
      <c r="C63" s="69">
        <f>SUM(C7:C61)</f>
        <v>64.628439999999983</v>
      </c>
      <c r="D63" s="69">
        <f t="shared" ref="D63:F63" si="0">SUM(D7:D61)</f>
        <v>47.069399999999995</v>
      </c>
      <c r="E63" s="69">
        <f t="shared" si="0"/>
        <v>0.70700000000000007</v>
      </c>
      <c r="F63" s="69">
        <f t="shared" si="0"/>
        <v>22.142800000000001</v>
      </c>
    </row>
  </sheetData>
  <mergeCells count="1">
    <mergeCell ref="B4:E4"/>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EF060-811B-4AA2-B93A-EF4FD96CFEA3}">
  <sheetPr>
    <tabColor theme="8" tint="0.59999389629810485"/>
  </sheetPr>
  <dimension ref="B2:G13"/>
  <sheetViews>
    <sheetView zoomScaleNormal="100" workbookViewId="0"/>
  </sheetViews>
  <sheetFormatPr defaultColWidth="8.69921875" defaultRowHeight="15.6"/>
  <cols>
    <col min="1" max="1" width="8.69921875" style="1"/>
    <col min="2" max="2" width="24.19921875" style="1" customWidth="1"/>
    <col min="3" max="3" width="8.3984375" style="1" bestFit="1" customWidth="1"/>
    <col min="4" max="4" width="13.3984375" style="1" bestFit="1" customWidth="1"/>
    <col min="5" max="5" width="31.09765625" style="1" bestFit="1" customWidth="1"/>
    <col min="6" max="6" width="22.8984375" style="1" bestFit="1" customWidth="1"/>
    <col min="7" max="7" width="18.09765625" style="1" bestFit="1" customWidth="1"/>
    <col min="8" max="8" width="8.69921875" style="1"/>
    <col min="9" max="14" width="8.69921875" style="1" customWidth="1"/>
    <col min="15" max="16384" width="8.69921875" style="1"/>
  </cols>
  <sheetData>
    <row r="2" spans="2:7" ht="25.2">
      <c r="B2" s="67" t="s">
        <v>1606</v>
      </c>
    </row>
    <row r="4" spans="2:7" ht="130.19999999999999" customHeight="1">
      <c r="B4" s="206" t="s">
        <v>1607</v>
      </c>
      <c r="C4" s="206"/>
      <c r="D4" s="206"/>
      <c r="E4" s="206"/>
      <c r="F4" s="206"/>
    </row>
    <row r="6" spans="2:7" ht="21" customHeight="1">
      <c r="B6" s="35"/>
      <c r="C6" s="162" t="s">
        <v>1431</v>
      </c>
      <c r="D6" s="162" t="s">
        <v>1602</v>
      </c>
      <c r="E6" s="162" t="s">
        <v>1603</v>
      </c>
      <c r="F6" s="162" t="s">
        <v>1604</v>
      </c>
      <c r="G6" s="162" t="s">
        <v>1605</v>
      </c>
    </row>
    <row r="7" spans="2:7">
      <c r="B7" s="199" t="s">
        <v>1608</v>
      </c>
      <c r="C7" s="61">
        <f>(SUMIFS('MAIN DATA, Orders'!$M:$M,'MAIN DATA, Orders'!$Q:$Q,"&lt;=26",'MAIN DATA, Orders'!$Z:$Z,"&lt;&gt;.",'MAIN DATA, Orders'!$C:$C,"Germany")/1000000000)</f>
        <v>47.445900000000002</v>
      </c>
      <c r="D7" s="61">
        <f>(SUMIFS('MAIN DATA, Orders'!$M:$M,'MAIN DATA, Orders'!$C:$C,"Germany",'MAIN DATA, Orders'!$Q:$Q,"&lt;=26",'MAIN DATA, Orders'!$X:$X,"0",'MAIN DATA, Orders'!$Z:$Z,"Germany")/1000000000)</f>
        <v>16.574000000000002</v>
      </c>
      <c r="E7" s="61">
        <f>(SUMIFS('MAIN DATA, Orders'!$M:$M,'MAIN DATA, Orders'!$C:$C,"Germany",'MAIN DATA, Orders'!$Q:$Q,"&lt;=26",'MAIN DATA, Orders'!$X:$X,"1")/1000000000)</f>
        <v>29.747900000000001</v>
      </c>
      <c r="F7" s="61">
        <f>SUM(SUMIFS('MAIN DATA, Orders'!$M:$M,'MAIN DATA, Orders'!$C:$C,"Germany",'MAIN DATA, Orders'!$Q:$Q,"&lt;=26",'MAIN DATA, Orders'!$U:$U,"1",'MAIN DATA, Orders'!$X:$X,"0",'MAIN DATA, Orders'!$Z:$Z,"&lt;&gt;Germany")/1000000000)</f>
        <v>2.4E-2</v>
      </c>
      <c r="G7" s="61">
        <f>SUM(SUMIFS('MAIN DATA, Orders'!$M:$M,'MAIN DATA, Orders'!$C:$C,"Germany",'MAIN DATA, Orders'!$Q:$Q,"&lt;=26",'MAIN DATA, Orders'!$U:$U,"0",'MAIN DATA, Orders'!$X:$X,"0")/1000000000)</f>
        <v>1.1000000000000001</v>
      </c>
    </row>
    <row r="8" spans="2:7">
      <c r="B8" s="151" t="s">
        <v>1609</v>
      </c>
      <c r="C8" s="159">
        <f>(SUMIFS('MAIN DATA, Orders'!$M:$M,'MAIN DATA, Orders'!$Q:$Q,"&gt;=27",'MAIN DATA, Orders'!$Z:$Z,"&lt;&gt;.",'MAIN DATA, Orders'!$C:$C,"Germany")/1000000000)</f>
        <v>87.101740000000007</v>
      </c>
      <c r="D8" s="159">
        <f>(SUMIFS('MAIN DATA, Orders'!$M:$M,'MAIN DATA, Orders'!$C:$C,"Germany",'MAIN DATA, Orders'!$Q:$Q,"&gt;=27",'MAIN DATA, Orders'!$X:$X,"0",'MAIN DATA, Orders'!$Z:$Z,"Germany")/1000000000)</f>
        <v>48.05444</v>
      </c>
      <c r="E8" s="159">
        <f>(SUMIFS('MAIN DATA, Orders'!$M:$M,'MAIN DATA, Orders'!$C:$C,"Germany",'MAIN DATA, Orders'!$Q:$Q,"&gt;=27",'MAIN DATA, Orders'!$X:$X,"1")/1000000000)</f>
        <v>17.3215</v>
      </c>
      <c r="F8" s="159">
        <f>SUM(SUMIFS('MAIN DATA, Orders'!$M:$M,'MAIN DATA, Orders'!$C:$C,"Germany",'MAIN DATA, Orders'!$Q:$Q,"&gt;=27",'MAIN DATA, Orders'!$U:$U,"1",'MAIN DATA, Orders'!$X:$X,"0",'MAIN DATA, Orders'!$Z:$Z,"&lt;&gt;Germany")/1000000000)</f>
        <v>0.68300000000000005</v>
      </c>
      <c r="G8" s="159">
        <f>SUM(SUMIFS('MAIN DATA, Orders'!$M:$M,'MAIN DATA, Orders'!$C:$C,"Germany",'MAIN DATA, Orders'!$Q:$Q,"&gt;=27",'MAIN DATA, Orders'!$U:$U,"0",'MAIN DATA, Orders'!$X:$X,"0")/1000000000)</f>
        <v>21.0428</v>
      </c>
    </row>
    <row r="9" spans="2:7">
      <c r="B9" s="70"/>
      <c r="C9" s="70"/>
      <c r="D9" s="70"/>
      <c r="E9" s="70"/>
      <c r="F9" s="199"/>
      <c r="G9" s="199"/>
    </row>
    <row r="10" spans="2:7">
      <c r="B10" s="69" t="s">
        <v>1431</v>
      </c>
      <c r="C10" s="69">
        <f>SUM(C7:C8)</f>
        <v>134.54764</v>
      </c>
      <c r="D10" s="69">
        <f>SUM(D7:D8)</f>
        <v>64.628439999999998</v>
      </c>
      <c r="E10" s="69">
        <f>SUM(E7:E8)</f>
        <v>47.069400000000002</v>
      </c>
      <c r="F10" s="69">
        <f>SUM(F7:F8)</f>
        <v>0.70700000000000007</v>
      </c>
      <c r="G10" s="69">
        <f>SUM(G7:G8)</f>
        <v>22.142800000000001</v>
      </c>
    </row>
    <row r="12" spans="2:7">
      <c r="E12" s="70"/>
      <c r="F12" s="70"/>
      <c r="G12" s="70"/>
    </row>
    <row r="13" spans="2:7">
      <c r="E13" s="70"/>
      <c r="F13" s="70"/>
      <c r="G13" s="70"/>
    </row>
  </sheetData>
  <mergeCells count="1">
    <mergeCell ref="B4:F4"/>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436C7-3C3E-423E-B475-263B8EA986DE}">
  <sheetPr>
    <tabColor theme="8" tint="0.59999389629810485"/>
  </sheetPr>
  <dimension ref="A2:W63"/>
  <sheetViews>
    <sheetView zoomScaleNormal="100" workbookViewId="0"/>
  </sheetViews>
  <sheetFormatPr defaultColWidth="8.69921875" defaultRowHeight="15.6"/>
  <cols>
    <col min="1" max="1" width="8.69921875" style="1"/>
    <col min="2" max="2" width="13.5" style="1" customWidth="1"/>
    <col min="3" max="3" width="28.3984375" style="1" bestFit="1" customWidth="1"/>
    <col min="4" max="16384" width="8.69921875" style="1"/>
  </cols>
  <sheetData>
    <row r="2" spans="1:23" ht="25.2">
      <c r="B2" s="67" t="s">
        <v>1610</v>
      </c>
    </row>
    <row r="4" spans="1:23" ht="130.19999999999999" customHeight="1">
      <c r="B4" s="207" t="s">
        <v>1611</v>
      </c>
      <c r="C4" s="207"/>
      <c r="D4" s="207"/>
      <c r="E4" s="207"/>
      <c r="F4" s="207"/>
      <c r="G4" s="207"/>
      <c r="H4" s="207"/>
      <c r="I4" s="207"/>
      <c r="J4" s="207"/>
      <c r="P4" s="207"/>
      <c r="Q4" s="207"/>
      <c r="R4" s="207"/>
      <c r="S4" s="207"/>
      <c r="T4" s="207"/>
      <c r="U4" s="207"/>
      <c r="V4" s="207"/>
      <c r="W4" s="207"/>
    </row>
    <row r="6" spans="1:23" ht="21" customHeight="1">
      <c r="B6" s="161" t="s">
        <v>1404</v>
      </c>
      <c r="C6" s="162" t="s">
        <v>1612</v>
      </c>
    </row>
    <row r="7" spans="1:23">
      <c r="A7" s="72">
        <v>1</v>
      </c>
      <c r="B7" s="68">
        <v>43831</v>
      </c>
      <c r="C7" s="61" cm="1">
        <f t="array" ref="C7">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Orders'!$Q:$Q,$A7)/1000000000)</f>
        <v>0</v>
      </c>
    </row>
    <row r="8" spans="1:23">
      <c r="A8" s="72">
        <v>2</v>
      </c>
      <c r="B8" s="68">
        <v>43862</v>
      </c>
      <c r="C8" s="61" cm="1">
        <f t="array" ref="C8">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Orders'!$Q:$Q,$A8)/1000000000)</f>
        <v>0</v>
      </c>
    </row>
    <row r="9" spans="1:23">
      <c r="A9" s="72">
        <v>3</v>
      </c>
      <c r="B9" s="68">
        <v>43891</v>
      </c>
      <c r="C9" s="61" cm="1">
        <f t="array" ref="C9">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Orders'!$Q:$Q,$A9)/1000000000)</f>
        <v>0</v>
      </c>
    </row>
    <row r="10" spans="1:23">
      <c r="A10" s="72">
        <v>4</v>
      </c>
      <c r="B10" s="68">
        <v>43922</v>
      </c>
      <c r="C10" s="61" cm="1">
        <f t="array" ref="C10">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Orders'!$Q:$Q,$A10)/1000000000)</f>
        <v>0</v>
      </c>
    </row>
    <row r="11" spans="1:23">
      <c r="A11" s="72">
        <v>5</v>
      </c>
      <c r="B11" s="68">
        <v>43952</v>
      </c>
      <c r="C11" s="61" cm="1">
        <f t="array" ref="C11">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Orders'!$Q:$Q,$A11)/1000000000)</f>
        <v>0.03</v>
      </c>
    </row>
    <row r="12" spans="1:23">
      <c r="A12" s="72">
        <v>6</v>
      </c>
      <c r="B12" s="68">
        <v>43983</v>
      </c>
      <c r="C12" s="61" cm="1">
        <f t="array" ref="C12">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Orders'!$Q:$Q,$A12)/1000000000)</f>
        <v>0</v>
      </c>
    </row>
    <row r="13" spans="1:23">
      <c r="A13" s="72">
        <v>7</v>
      </c>
      <c r="B13" s="68">
        <v>44013</v>
      </c>
      <c r="C13" s="61" cm="1">
        <f t="array" ref="C13">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Orders'!$Q:$Q,$A13)/1000000000)</f>
        <v>0</v>
      </c>
    </row>
    <row r="14" spans="1:23">
      <c r="A14" s="72">
        <v>8</v>
      </c>
      <c r="B14" s="68">
        <v>44044</v>
      </c>
      <c r="C14" s="61" cm="1">
        <f t="array" ref="C14">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Orders'!$Q:$Q,$A14)/1000000000)</f>
        <v>0</v>
      </c>
    </row>
    <row r="15" spans="1:23">
      <c r="A15" s="72">
        <v>9</v>
      </c>
      <c r="B15" s="68">
        <v>44075</v>
      </c>
      <c r="C15" s="61" cm="1">
        <f t="array" ref="C15">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Orders'!$Q:$Q,$A15)/1000000000)</f>
        <v>0</v>
      </c>
    </row>
    <row r="16" spans="1:23">
      <c r="A16" s="72">
        <v>10</v>
      </c>
      <c r="B16" s="68">
        <v>44105</v>
      </c>
      <c r="C16" s="61" cm="1">
        <f t="array" ref="C16">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Orders'!$Q:$Q,$A16)/1000000000)</f>
        <v>0</v>
      </c>
    </row>
    <row r="17" spans="1:3">
      <c r="A17" s="72">
        <v>11</v>
      </c>
      <c r="B17" s="68">
        <v>44136</v>
      </c>
      <c r="C17" s="61" cm="1">
        <f t="array" ref="C17">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Orders'!$Q:$Q,$A17)/1000000000)</f>
        <v>0.20599999999999999</v>
      </c>
    </row>
    <row r="18" spans="1:3">
      <c r="A18" s="72">
        <v>12</v>
      </c>
      <c r="B18" s="68">
        <v>44166</v>
      </c>
      <c r="C18" s="61" cm="1">
        <f t="array" ref="C18">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Orders'!$Q:$Q,$A18)/1000000000)</f>
        <v>0</v>
      </c>
    </row>
    <row r="19" spans="1:3">
      <c r="A19" s="72">
        <v>13</v>
      </c>
      <c r="B19" s="68">
        <v>44197</v>
      </c>
      <c r="C19" s="61" cm="1">
        <f t="array" ref="C19">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Orders'!$Q:$Q,$A19)/1000000000)</f>
        <v>0</v>
      </c>
    </row>
    <row r="20" spans="1:3">
      <c r="A20" s="72">
        <v>14</v>
      </c>
      <c r="B20" s="68">
        <v>44228</v>
      </c>
      <c r="C20" s="61" cm="1">
        <f t="array" ref="C20">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Orders'!$Q:$Q,$A20)/1000000000)</f>
        <v>8.7999999999999995E-2</v>
      </c>
    </row>
    <row r="21" spans="1:3">
      <c r="A21" s="72">
        <v>15</v>
      </c>
      <c r="B21" s="68">
        <v>44256</v>
      </c>
      <c r="C21" s="61" cm="1">
        <f t="array" ref="C21">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Orders'!$Q:$Q,$A21)/1000000000)</f>
        <v>0</v>
      </c>
    </row>
    <row r="22" spans="1:3">
      <c r="A22" s="72">
        <v>16</v>
      </c>
      <c r="B22" s="68">
        <v>44287</v>
      </c>
      <c r="C22" s="61" cm="1">
        <f t="array" ref="C22">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Orders'!$Q:$Q,$A22)/1000000000)</f>
        <v>3.4580000000000002</v>
      </c>
    </row>
    <row r="23" spans="1:3">
      <c r="A23" s="72">
        <v>17</v>
      </c>
      <c r="B23" s="68">
        <v>44317</v>
      </c>
      <c r="C23" s="61" cm="1">
        <f t="array" ref="C23">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Orders'!$Q:$Q,$A23)/1000000000)</f>
        <v>0</v>
      </c>
    </row>
    <row r="24" spans="1:3">
      <c r="A24" s="72">
        <v>18</v>
      </c>
      <c r="B24" s="68">
        <v>44348</v>
      </c>
      <c r="C24" s="61" cm="1">
        <f t="array" ref="C24">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Orders'!$Q:$Q,$A24)/1000000000)</f>
        <v>1.32</v>
      </c>
    </row>
    <row r="25" spans="1:3">
      <c r="A25" s="72">
        <v>19</v>
      </c>
      <c r="B25" s="68">
        <v>44378</v>
      </c>
      <c r="C25" s="61" cm="1">
        <f t="array" ref="C25">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Orders'!$Q:$Q,$A25)/1000000000)</f>
        <v>0</v>
      </c>
    </row>
    <row r="26" spans="1:3">
      <c r="A26" s="72">
        <v>20</v>
      </c>
      <c r="B26" s="68">
        <v>44409</v>
      </c>
      <c r="C26" s="61" cm="1">
        <f t="array" ref="C26">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Orders'!$Q:$Q,$A26)/1000000000)</f>
        <v>0</v>
      </c>
    </row>
    <row r="27" spans="1:3">
      <c r="A27" s="72">
        <v>21</v>
      </c>
      <c r="B27" s="68">
        <v>44440</v>
      </c>
      <c r="C27" s="61" cm="1">
        <f t="array" ref="C27">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Orders'!$Q:$Q,$A27)/1000000000)</f>
        <v>0</v>
      </c>
    </row>
    <row r="28" spans="1:3">
      <c r="A28" s="72">
        <v>22</v>
      </c>
      <c r="B28" s="68">
        <v>44470</v>
      </c>
      <c r="C28" s="61" cm="1">
        <f t="array" ref="C28">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Orders'!$Q:$Q,$A28)/1000000000)</f>
        <v>0</v>
      </c>
    </row>
    <row r="29" spans="1:3">
      <c r="A29" s="72">
        <v>23</v>
      </c>
      <c r="B29" s="68">
        <v>44501</v>
      </c>
      <c r="C29" s="61" cm="1">
        <f t="array" ref="C29">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Orders'!$Q:$Q,$A29)/1000000000)</f>
        <v>0</v>
      </c>
    </row>
    <row r="30" spans="1:3">
      <c r="A30" s="72">
        <v>24</v>
      </c>
      <c r="B30" s="68">
        <v>44531</v>
      </c>
      <c r="C30" s="61" cm="1">
        <f t="array" ref="C30">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Orders'!$Q:$Q,$A30)/1000000000)</f>
        <v>0</v>
      </c>
    </row>
    <row r="31" spans="1:3">
      <c r="A31" s="72">
        <v>25</v>
      </c>
      <c r="B31" s="68">
        <v>44562</v>
      </c>
      <c r="C31" s="61" cm="1">
        <f t="array" ref="C31">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Orders'!$Q:$Q,$A31)/1000000000)</f>
        <v>0</v>
      </c>
    </row>
    <row r="32" spans="1:3">
      <c r="A32" s="72">
        <v>26</v>
      </c>
      <c r="B32" s="68">
        <v>44593</v>
      </c>
      <c r="C32" s="61" cm="1">
        <f t="array" ref="C32">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Orders'!$Q:$Q,$A32)/1000000000)</f>
        <v>0</v>
      </c>
    </row>
    <row r="33" spans="1:3">
      <c r="A33" s="72">
        <v>27</v>
      </c>
      <c r="B33" s="68">
        <v>44621</v>
      </c>
      <c r="C33" s="61" cm="1">
        <f t="array" ref="C33">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Orders'!$Q:$Q,$A33)/1000000000)</f>
        <v>0</v>
      </c>
    </row>
    <row r="34" spans="1:3">
      <c r="A34" s="72">
        <v>28</v>
      </c>
      <c r="B34" s="68">
        <v>44652</v>
      </c>
      <c r="C34" s="61" cm="1">
        <f t="array" ref="C34">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Orders'!$Q:$Q,$A34)/1000000000)</f>
        <v>0.15</v>
      </c>
    </row>
    <row r="35" spans="1:3">
      <c r="A35" s="72">
        <v>29</v>
      </c>
      <c r="B35" s="68">
        <v>44682</v>
      </c>
      <c r="C35" s="61" cm="1">
        <f t="array" ref="C35">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Orders'!$Q:$Q,$A35)/1000000000)</f>
        <v>0</v>
      </c>
    </row>
    <row r="36" spans="1:3">
      <c r="A36" s="72">
        <v>30</v>
      </c>
      <c r="B36" s="68">
        <v>44713</v>
      </c>
      <c r="C36" s="61" cm="1">
        <f t="array" ref="C36">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Orders'!$Q:$Q,$A36)/1000000000)</f>
        <v>0</v>
      </c>
    </row>
    <row r="37" spans="1:3">
      <c r="A37" s="72">
        <v>31</v>
      </c>
      <c r="B37" s="68">
        <v>44743</v>
      </c>
      <c r="C37" s="61" cm="1">
        <f t="array" ref="C37">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Orders'!$Q:$Q,$A37)/1000000000)</f>
        <v>4.2099999999999999E-2</v>
      </c>
    </row>
    <row r="38" spans="1:3">
      <c r="A38" s="72">
        <v>32</v>
      </c>
      <c r="B38" s="68">
        <v>44774</v>
      </c>
      <c r="C38" s="61" cm="1">
        <f t="array" ref="C38">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Orders'!$Q:$Q,$A38)/1000000000)</f>
        <v>0</v>
      </c>
    </row>
    <row r="39" spans="1:3">
      <c r="A39" s="72">
        <v>33</v>
      </c>
      <c r="B39" s="68">
        <v>44805</v>
      </c>
      <c r="C39" s="61" cm="1">
        <f t="array" ref="C39">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Orders'!$Q:$Q,$A39)/1000000000)</f>
        <v>0</v>
      </c>
    </row>
    <row r="40" spans="1:3">
      <c r="A40" s="72">
        <v>34</v>
      </c>
      <c r="B40" s="68">
        <v>44835</v>
      </c>
      <c r="C40" s="61" cm="1">
        <f t="array" ref="C40">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Orders'!$Q:$Q,$A40)/1000000000)</f>
        <v>9.74E-2</v>
      </c>
    </row>
    <row r="41" spans="1:3">
      <c r="A41" s="72">
        <v>35</v>
      </c>
      <c r="B41" s="68">
        <v>44866</v>
      </c>
      <c r="C41" s="61" cm="1">
        <f t="array" ref="C41">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Orders'!$Q:$Q,$A41)/1000000000)</f>
        <v>0</v>
      </c>
    </row>
    <row r="42" spans="1:3">
      <c r="A42" s="72">
        <v>36</v>
      </c>
      <c r="B42" s="68">
        <v>44896</v>
      </c>
      <c r="C42" s="61" cm="1">
        <f t="array" ref="C42">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Orders'!$Q:$Q,$A42)/1000000000)</f>
        <v>1.464</v>
      </c>
    </row>
    <row r="43" spans="1:3">
      <c r="A43" s="72">
        <v>37</v>
      </c>
      <c r="B43" s="68">
        <v>44927</v>
      </c>
      <c r="C43" s="61" cm="1">
        <f t="array" ref="C43">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Orders'!$Q:$Q,$A43)/1000000000)</f>
        <v>0</v>
      </c>
    </row>
    <row r="44" spans="1:3">
      <c r="A44" s="72">
        <v>38</v>
      </c>
      <c r="B44" s="68">
        <v>44958</v>
      </c>
      <c r="C44" s="61" cm="1">
        <f t="array" ref="C44">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Orders'!$Q:$Q,$A44)/1000000000)</f>
        <v>0.16800000000000001</v>
      </c>
    </row>
    <row r="45" spans="1:3">
      <c r="A45" s="72">
        <v>39</v>
      </c>
      <c r="B45" s="68">
        <v>44986</v>
      </c>
      <c r="C45" s="61" cm="1">
        <f t="array" ref="C45">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Orders'!$Q:$Q,$A45)/1000000000)</f>
        <v>1.2991999999999999</v>
      </c>
    </row>
    <row r="46" spans="1:3">
      <c r="A46" s="72">
        <v>40</v>
      </c>
      <c r="B46" s="68">
        <v>45017</v>
      </c>
      <c r="C46" s="61" cm="1">
        <f t="array" ref="C46">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Orders'!$Q:$Q,$A46)/1000000000)</f>
        <v>0</v>
      </c>
    </row>
    <row r="47" spans="1:3">
      <c r="A47" s="72">
        <v>41</v>
      </c>
      <c r="B47" s="68">
        <v>45047</v>
      </c>
      <c r="C47" s="61" cm="1">
        <f t="array" ref="C47">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Orders'!$Q:$Q,$A47)/1000000000)</f>
        <v>1.8033000000000001</v>
      </c>
    </row>
    <row r="48" spans="1:3">
      <c r="A48" s="72">
        <v>42</v>
      </c>
      <c r="B48" s="68">
        <v>45078</v>
      </c>
      <c r="C48" s="61" cm="1">
        <f t="array" ref="C48">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Orders'!$Q:$Q,$A48)/1000000000)</f>
        <v>0.95</v>
      </c>
    </row>
    <row r="49" spans="1:3">
      <c r="A49" s="72">
        <v>43</v>
      </c>
      <c r="B49" s="68">
        <v>45108</v>
      </c>
      <c r="C49" s="61" cm="1">
        <f t="array" ref="C49">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Orders'!$Q:$Q,$A49)/1000000000)</f>
        <v>8.5849000000000011</v>
      </c>
    </row>
    <row r="50" spans="1:3">
      <c r="A50" s="72">
        <v>44</v>
      </c>
      <c r="B50" s="68">
        <v>45139</v>
      </c>
      <c r="C50" s="61" cm="1">
        <f t="array" ref="C50">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Orders'!$Q:$Q,$A50)/1000000000)</f>
        <v>0</v>
      </c>
    </row>
    <row r="51" spans="1:3">
      <c r="A51" s="72">
        <v>45</v>
      </c>
      <c r="B51" s="68">
        <v>45170</v>
      </c>
      <c r="C51" s="61" cm="1">
        <f t="array" ref="C51">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Orders'!$Q:$Q,$A51)/1000000000)</f>
        <v>0.23860000000000001</v>
      </c>
    </row>
    <row r="52" spans="1:3">
      <c r="A52" s="72">
        <v>46</v>
      </c>
      <c r="B52" s="68">
        <v>45200</v>
      </c>
      <c r="C52" s="61" cm="1">
        <f t="array" ref="C52">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Orders'!$Q:$Q,$A52)/1000000000)</f>
        <v>4.1609999999999996</v>
      </c>
    </row>
    <row r="53" spans="1:3">
      <c r="A53" s="72">
        <v>47</v>
      </c>
      <c r="B53" s="68">
        <v>45231</v>
      </c>
      <c r="C53" s="61" cm="1">
        <f t="array" ref="C53">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Orders'!$Q:$Q,$A53)/1000000000)</f>
        <v>0.40100000000000002</v>
      </c>
    </row>
    <row r="54" spans="1:3">
      <c r="A54" s="72">
        <v>48</v>
      </c>
      <c r="B54" s="68">
        <v>45261</v>
      </c>
      <c r="C54" s="61" cm="1">
        <f t="array" ref="C54">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Orders'!$Q:$Q,$A54)/1000000000)</f>
        <v>5.9740000000000002</v>
      </c>
    </row>
    <row r="55" spans="1:3">
      <c r="A55" s="72">
        <v>49</v>
      </c>
      <c r="B55" s="68">
        <v>45292</v>
      </c>
      <c r="C55" s="61" cm="1">
        <f t="array" ref="C55">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Orders'!$Q:$Q,$A55)/1000000000)</f>
        <v>1.23</v>
      </c>
    </row>
    <row r="56" spans="1:3">
      <c r="A56" s="72">
        <v>50</v>
      </c>
      <c r="B56" s="68">
        <v>45323</v>
      </c>
      <c r="C56" s="61" cm="1">
        <f t="array" ref="C56">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Orders'!$Q:$Q,$A56)/1000000000)</f>
        <v>0.64900000000000002</v>
      </c>
    </row>
    <row r="57" spans="1:3">
      <c r="A57" s="72">
        <v>51</v>
      </c>
      <c r="B57" s="68">
        <v>45352</v>
      </c>
      <c r="C57" s="61" cm="1">
        <f t="array" ref="C57">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Orders'!$Q:$Q,$A57)/1000000000)</f>
        <v>3.34</v>
      </c>
    </row>
    <row r="58" spans="1:3">
      <c r="A58" s="72">
        <v>52</v>
      </c>
      <c r="B58" s="68">
        <v>45383</v>
      </c>
      <c r="C58" s="61" cm="1">
        <f t="array" ref="C58">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Orders'!$Q:$Q,$A58)/1000000000)</f>
        <v>0.44700000000000001</v>
      </c>
    </row>
    <row r="59" spans="1:3">
      <c r="A59" s="72">
        <v>53</v>
      </c>
      <c r="B59" s="68">
        <v>45413</v>
      </c>
      <c r="C59" s="61" cm="1">
        <f t="array" ref="C59">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Orders'!$Q:$Q,$A59)/1000000000)</f>
        <v>0</v>
      </c>
    </row>
    <row r="60" spans="1:3">
      <c r="A60" s="72">
        <v>54</v>
      </c>
      <c r="B60" s="68">
        <v>45444</v>
      </c>
      <c r="C60" s="61" cm="1">
        <f t="array" ref="C60">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Orders'!$Q:$Q,$A60)/1000000000)</f>
        <v>1.466</v>
      </c>
    </row>
    <row r="61" spans="1:3">
      <c r="A61" s="72">
        <v>55</v>
      </c>
      <c r="B61" s="155">
        <v>45474</v>
      </c>
      <c r="C61" s="159" cm="1">
        <f t="array" ref="C61">SUM(SUMIFS('MAIN DATA, Orders'!$M:$M,'MAIN DATA, Orders'!$C:$C,"Germany",'MAIN DATA, Orders'!$G:$G,{"Air defence system","Development - Air defence system","Ammunition","Development - Ammunition","Armoured vehicle","Development - Armoured vehicle","Artillery","Development - Artillery","Drone","Development - Drone","Helicopter","Development - Helicopter","Infantry","Development - Infantry","Tank","Development - Tank","Mine","Development - Mine","Missile (Land)","Development - Missile (Land)"},'MAIN DATA, Orders'!$Q:$Q,$A61)/1000000000)</f>
        <v>6.2519999999999998</v>
      </c>
    </row>
    <row r="62" spans="1:3">
      <c r="A62" s="199"/>
      <c r="B62" s="199"/>
      <c r="C62" s="199"/>
    </row>
    <row r="63" spans="1:3">
      <c r="A63" s="199"/>
      <c r="B63" s="19" t="s">
        <v>1431</v>
      </c>
      <c r="C63" s="69">
        <f>SUM(C7:C61)</f>
        <v>43.819500000000005</v>
      </c>
    </row>
  </sheetData>
  <mergeCells count="2">
    <mergeCell ref="P4:W4"/>
    <mergeCell ref="B4:J4"/>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687E4-E3AF-4F15-AAF8-8BB4063FEE05}">
  <sheetPr>
    <tabColor theme="8" tint="0.59999389629810485"/>
  </sheetPr>
  <dimension ref="B2:Q12"/>
  <sheetViews>
    <sheetView zoomScaleNormal="100" workbookViewId="0"/>
  </sheetViews>
  <sheetFormatPr defaultColWidth="8.69921875" defaultRowHeight="15.6"/>
  <cols>
    <col min="1" max="8" width="8.69921875" style="1"/>
    <col min="9" max="9" width="8.69921875" style="1" customWidth="1"/>
    <col min="10" max="16384" width="8.69921875" style="1"/>
  </cols>
  <sheetData>
    <row r="2" spans="2:17" ht="25.2">
      <c r="B2" s="210" t="s">
        <v>1613</v>
      </c>
      <c r="C2" s="210"/>
      <c r="D2" s="210"/>
      <c r="E2" s="210"/>
      <c r="F2" s="210"/>
      <c r="G2" s="210"/>
      <c r="H2" s="210"/>
      <c r="I2" s="210"/>
      <c r="J2" s="210"/>
      <c r="K2" s="210"/>
      <c r="L2" s="210"/>
      <c r="M2" s="210"/>
      <c r="N2" s="210"/>
      <c r="O2" s="210"/>
      <c r="P2" s="210"/>
      <c r="Q2" s="210"/>
    </row>
    <row r="4" spans="2:17" ht="130.19999999999999" customHeight="1">
      <c r="B4" s="206" t="s">
        <v>1614</v>
      </c>
      <c r="C4" s="206"/>
      <c r="D4" s="206"/>
      <c r="E4" s="206"/>
      <c r="F4" s="206"/>
      <c r="G4" s="206"/>
      <c r="H4" s="206"/>
      <c r="I4" s="206"/>
      <c r="J4" s="206"/>
      <c r="K4" s="206"/>
      <c r="L4" s="206"/>
    </row>
    <row r="6" spans="2:17">
      <c r="B6" s="31"/>
      <c r="C6" s="211" t="s">
        <v>1431</v>
      </c>
      <c r="D6" s="211"/>
      <c r="E6" s="211" t="s">
        <v>1597</v>
      </c>
      <c r="F6" s="211"/>
      <c r="G6" s="211" t="s">
        <v>1598</v>
      </c>
      <c r="H6" s="211"/>
      <c r="I6" s="211" t="s">
        <v>1599</v>
      </c>
      <c r="J6" s="211"/>
      <c r="K6" s="211" t="s">
        <v>296</v>
      </c>
      <c r="L6" s="211"/>
    </row>
    <row r="7" spans="2:17">
      <c r="B7" s="163"/>
      <c r="C7" s="164" t="s">
        <v>1615</v>
      </c>
      <c r="D7" s="164" t="s">
        <v>1616</v>
      </c>
      <c r="E7" s="164" t="s">
        <v>1615</v>
      </c>
      <c r="F7" s="164" t="s">
        <v>1616</v>
      </c>
      <c r="G7" s="164" t="s">
        <v>1615</v>
      </c>
      <c r="H7" s="164" t="s">
        <v>1616</v>
      </c>
      <c r="I7" s="164" t="s">
        <v>1615</v>
      </c>
      <c r="J7" s="164" t="s">
        <v>1616</v>
      </c>
      <c r="K7" s="164" t="s">
        <v>1615</v>
      </c>
      <c r="L7" s="164" t="s">
        <v>1616</v>
      </c>
    </row>
    <row r="8" spans="2:17">
      <c r="B8" s="22" t="s">
        <v>1617</v>
      </c>
      <c r="C8" s="61">
        <f>(SUMIFS('MAIN DATA, Orders'!$M:$M,'MAIN DATA, Orders'!$C:$C,"Germany",'MAIN DATA, Orders'!$Q:$Q,"&lt;=24")/1000000000)</f>
        <v>47.776878000000004</v>
      </c>
      <c r="D8" s="61">
        <f>(SUMIFS('MAIN DATA, Orders'!$M:$M,'MAIN DATA, Orders'!$C:$C,"Germany",'MAIN DATA, Orders'!$Q:$Q,"&gt;=25")/1000000000)</f>
        <v>89.866190000000003</v>
      </c>
      <c r="E8" s="61">
        <f>(SUMIFS('MAIN DATA, Orders'!$M:$M,'MAIN DATA, Orders'!$C:$C,"Germany",'MAIN DATA, Orders'!$G:$G,"Aircraft",'MAIN DATA, Orders'!$Q:$Q,"&lt;=24")/1000000000)
+ (SUMIFS('MAIN DATA, Orders'!$M:$M,'MAIN DATA, Orders'!$C:$C,"Germany",'MAIN DATA, Orders'!$G:$G,"Development - Aircraft",'MAIN DATA, Orders'!$Q:$Q,"&lt;=24")/1000000000)
+ (SUMIFS('MAIN DATA, Orders'!$M:$M,'MAIN DATA, Orders'!$C:$C,"Germany",'MAIN DATA, Orders'!$G:$G,"Missile (Air)",'MAIN DATA, Orders'!$Q:$Q,"&lt;=24")/1000000000)
+ (SUMIFS('MAIN DATA, Orders'!$M:$M,'MAIN DATA, Orders'!$C:$C,"Germany",'MAIN DATA, Orders'!$G:$G,"Development - Missile (Air)",'MAIN DATA, Orders'!$Q:$Q,"&lt;=24")/1000000000)</f>
        <v>14.831</v>
      </c>
      <c r="F8" s="61">
        <f>(SUMIFS('MAIN DATA, Orders'!$M:$M,'MAIN DATA, Orders'!$C:$C,"Germany",'MAIN DATA, Orders'!$G:$G,"Aircraft",'MAIN DATA, Orders'!$Q:$Q,"&gt;=25")/1000000000)
+ (SUMIFS('MAIN DATA, Orders'!$M:$M,'MAIN DATA, Orders'!$C:$C,"Germany",'MAIN DATA, Orders'!$G:$G,"Development - Aircraft",'MAIN DATA, Orders'!$Q:$Q,"&gt;=25")/1000000000)
+ (SUMIFS('MAIN DATA, Orders'!$M:$M,'MAIN DATA, Orders'!$C:$C,"Germany",'MAIN DATA, Orders'!$G:$G,"Missile (Air)",'MAIN DATA, Orders'!$Q:$Q,"&gt;=25")/1000000000)
+ (SUMIFS('MAIN DATA, Orders'!$M:$M,'MAIN DATA, Orders'!$C:$C,"Germany",'MAIN DATA, Orders'!$G:$G,"Development - Missile (Air)",'MAIN DATA, Orders'!$Q:$Q,"&gt;=25")/1000000000)</f>
        <v>9.7939000000000007</v>
      </c>
      <c r="G8" s="61">
        <f>(SUMIFS('MAIN DATA, Orders'!$M:$M,'MAIN DATA, Orders'!$C:$C,"Germany",'MAIN DATA, Orders'!$G:$G,"Naval",'MAIN DATA, Orders'!$Q:$Q,"&lt;=24")/1000000000)
+ (SUMIFS('MAIN DATA, Orders'!$M:$M,'MAIN DATA, Orders'!$C:$C,"Germany",'MAIN DATA, Orders'!$G:$G,"Development - Naval",'MAIN DATA, Orders'!$Q:$Q,"&lt;=24")/1000000000)
+ (SUMIFS('MAIN DATA, Orders'!$M:$M,'MAIN DATA, Orders'!$C:$C,"Germany",'MAIN DATA, Orders'!$G:$G,"Missile (Naval)",'MAIN DATA, Orders'!$Q:$Q,"&lt;=24")/1000000000)
+ (SUMIFS('MAIN DATA, Orders'!$M:$M,'MAIN DATA, Orders'!$C:$C,"Germany",'MAIN DATA, Orders'!$G:$G,"Development - Missile (Naval)",'MAIN DATA, Orders'!$Q:$Q,"&lt;=24")/1000000000)</f>
        <v>16.171878</v>
      </c>
      <c r="H8" s="61">
        <f>(SUMIFS('MAIN DATA, Orders'!$M:$M,'MAIN DATA, Orders'!$C:$C,"Germany",'MAIN DATA, Orders'!$G:$G,"Naval",'MAIN DATA, Orders'!$Q:$Q,"&gt;=25")/1000000000)
+ (SUMIFS('MAIN DATA, Orders'!$M:$M,'MAIN DATA, Orders'!$C:$C,"Germany",'MAIN DATA, Orders'!$G:$G,"Development - Naval",'MAIN DATA, Orders'!$Q:$Q,"&gt;=25")/1000000000)
+ (SUMIFS('MAIN DATA, Orders'!$M:$M,'MAIN DATA, Orders'!$C:$C,"Germany",'MAIN DATA, Orders'!$G:$G,"Missile (Naval)",'MAIN DATA, Orders'!$Q:$Q,"&gt;=25")/1000000000)
+ (SUMIFS('MAIN DATA, Orders'!$M:$M,'MAIN DATA, Orders'!$C:$C,"Germany",'MAIN DATA, Orders'!$G:$G,"Development - Missile (Naval)",'MAIN DATA, Orders'!$Q:$Q,"&gt;=25")/1000000000)</f>
        <v>9.1166</v>
      </c>
      <c r="I8" s="179">
        <f>(SUMIFS('MAIN DATA, Orders'!$M:$M,'MAIN DATA, Orders'!$C:$C,"Germany",'MAIN DATA, Orders'!$G:$G,"Air defence system",'MAIN DATA, Orders'!$Q:$Q,"&lt;=24")/1000000000)
+ (SUMIFS('MAIN DATA, Orders'!$M:$M,'MAIN DATA, Orders'!$C:$C,"Germany",'MAIN DATA, Orders'!$G:$G,"Development - Air defence system",'MAIN DATA, Orders'!$Q:$Q,"&lt;=24")/1000000000)
+ (SUMIFS('MAIN DATA, Orders'!$M:$M,'MAIN DATA, Orders'!$C:$C,"Germany",'MAIN DATA, Orders'!$G:$G,"Ammunition",'MAIN DATA, Orders'!$Q:$Q,"&lt;=24")/1000000000)
+ (SUMIFS('MAIN DATA, Orders'!$M:$M,'MAIN DATA, Orders'!$C:$C,"Germany",'MAIN DATA, Orders'!$G:$G,"Development - Ammunition",'MAIN DATA, Orders'!$Q:$Q,"&lt;=24")/1000000000)
+ (SUMIFS('MAIN DATA, Orders'!$M:$M,'MAIN DATA, Orders'!$C:$C,"Germany",'MAIN DATA, Orders'!$G:$G,"Armoured vehicle",'MAIN DATA, Orders'!$Q:$Q,"&lt;=24")/1000000000)
+ (SUMIFS('MAIN DATA, Orders'!$M:$M,'MAIN DATA, Orders'!$C:$C,"Germany",'MAIN DATA, Orders'!$G:$G,"Development - Armoured vehicle",'MAIN DATA, Orders'!$Q:$Q,"&lt;=24")/1000000000)
+ (SUMIFS('MAIN DATA, Orders'!$M:$M,'MAIN DATA, Orders'!$C:$C,"Germany",'MAIN DATA, Orders'!$G:$G,"Artillery",'MAIN DATA, Orders'!$Q:$Q,"&lt;=24")/1000000000)
+ (SUMIFS('MAIN DATA, Orders'!$M:$M,'MAIN DATA, Orders'!$C:$C,"Germany",'MAIN DATA, Orders'!$G:$G,"Development - Artillery",'MAIN DATA, Orders'!$Q:$Q,"&lt;=24")/1000000000)
+ (SUMIFS('MAIN DATA, Orders'!$M:$M,'MAIN DATA, Orders'!$C:$C,"Germany",'MAIN DATA, Orders'!$G:$G,"Drone",'MAIN DATA, Orders'!$Q:$Q,"&lt;=24")/1000000000)
+ (SUMIFS('MAIN DATA, Orders'!$M:$M,'MAIN DATA, Orders'!$C:$C,"Germany",'MAIN DATA, Orders'!$G:$G,"Development - Drone",'MAIN DATA, Orders'!$Q:$Q,"&lt;=24")/1000000000)
+ (SUMIFS('MAIN DATA, Orders'!$M:$M,'MAIN DATA, Orders'!$C:$C,"Germany",'MAIN DATA, Orders'!$G:$G,"Helicopter",'MAIN DATA, Orders'!$Q:$Q,"&lt;=24")/1000000000)
+ (SUMIFS('MAIN DATA, Orders'!$M:$M,'MAIN DATA, Orders'!$C:$C,"Germany",'MAIN DATA, Orders'!$G:$G,"Development - Helicopter",'MAIN DATA, Orders'!$Q:$Q,"&lt;=24")/1000000000)
+ (SUMIFS('MAIN DATA, Orders'!$M:$M,'MAIN DATA, Orders'!$C:$C,"Germany",'MAIN DATA, Orders'!$G:$G,"Infantry",'MAIN DATA, Orders'!$Q:$Q,"&lt;=24")/1000000000)
+ (SUMIFS('MAIN DATA, Orders'!$M:$M,'MAIN DATA, Orders'!$C:$C,"Germany",'MAIN DATA, Orders'!$G:$G,"Development - Infantry",'MAIN DATA, Orders'!$Q:$Q,"&lt;=24")/1000000000)
+ (SUMIFS('MAIN DATA, Orders'!$M:$M,'MAIN DATA, Orders'!$C:$C,"Germany",'MAIN DATA, Orders'!$G:$G,"Tank",'MAIN DATA, Orders'!$Q:$Q,"&lt;=24")/1000000000)
+ (SUMIFS('MAIN DATA, Orders'!$M:$M,'MAIN DATA, Orders'!$C:$C,"Germany",'MAIN DATA, Orders'!$G:$G,"Development - Tank",'MAIN DATA, Orders'!$Q:$Q,"&lt;=24")/1000000000)
+ (SUMIFS('MAIN DATA, Orders'!$M:$M,'MAIN DATA, Orders'!$C:$C,"Germany",'MAIN DATA, Orders'!$G:$G,"Mine",'MAIN DATA, Orders'!$Q:$Q,"&lt;=24")/1000000000)
+ (SUMIFS('MAIN DATA, Orders'!$M:$M,'MAIN DATA, Orders'!$C:$C,"Germany",'MAIN DATA, Orders'!$G:$G,"Development - Mine",'MAIN DATA, Orders'!$Q:$Q,"&lt;=24")/1000000000)
+ (SUMIFS('MAIN DATA, Orders'!$M:$M,'MAIN DATA, Orders'!$C:$C,"Germany",'MAIN DATA, Orders'!$G:$G,"Missile (Land)",'MAIN DATA, Orders'!$Q:$Q,"&lt;=24")/1000000000)
+ (SUMIFS('MAIN DATA, Orders'!$M:$M,'MAIN DATA, Orders'!$C:$C,"Germany",'MAIN DATA, Orders'!$G:$G,"Development - Missile (Land)",'MAIN DATA, Orders'!$Q:$Q,"&lt;=24")/1000000000)</f>
        <v>5.1020000000000012</v>
      </c>
      <c r="J8" s="179">
        <f>(SUMIFS('MAIN DATA, Orders'!$M:$M,'MAIN DATA, Orders'!$C:$C,"Germany",'MAIN DATA, Orders'!$G:$G,"Air defence system",'MAIN DATA, Orders'!$Q:$Q,"&gt;=25")/1000000000)
+ (SUMIFS('MAIN DATA, Orders'!$M:$M,'MAIN DATA, Orders'!$C:$C,"Germany",'MAIN DATA, Orders'!$G:$G,"Development - Air defence system",'MAIN DATA, Orders'!$Q:$Q,"&gt;=25")/1000000000)
+ (SUMIFS('MAIN DATA, Orders'!$M:$M,'MAIN DATA, Orders'!$C:$C,"Germany",'MAIN DATA, Orders'!$G:$G,"Ammunition",'MAIN DATA, Orders'!$Q:$Q,"&gt;=25")/1000000000)
+ (SUMIFS('MAIN DATA, Orders'!$M:$M,'MAIN DATA, Orders'!$C:$C,"Germany",'MAIN DATA, Orders'!$G:$G,"Development - Ammunition",'MAIN DATA, Orders'!$Q:$Q,"&gt;=25")/1000000000)
+ (SUMIFS('MAIN DATA, Orders'!$M:$M,'MAIN DATA, Orders'!$C:$C,"Germany",'MAIN DATA, Orders'!$G:$G,"Armoured vehicle",'MAIN DATA, Orders'!$Q:$Q,"&gt;=25")/1000000000)
+ (SUMIFS('MAIN DATA, Orders'!$M:$M,'MAIN DATA, Orders'!$C:$C,"Germany",'MAIN DATA, Orders'!$G:$G,"Development - Armoured vehicle",'MAIN DATA, Orders'!$Q:$Q,"&gt;=25")/1000000000)
+ (SUMIFS('MAIN DATA, Orders'!$M:$M,'MAIN DATA, Orders'!$C:$C,"Germany",'MAIN DATA, Orders'!$G:$G,"Artillery",'MAIN DATA, Orders'!$Q:$Q,"&gt;=25")/1000000000)
+ (SUMIFS('MAIN DATA, Orders'!$M:$M,'MAIN DATA, Orders'!$C:$C,"Germany",'MAIN DATA, Orders'!$G:$G,"Development - Artillery",'MAIN DATA, Orders'!$Q:$Q,"&gt;=25")/1000000000)
+ (SUMIFS('MAIN DATA, Orders'!$M:$M,'MAIN DATA, Orders'!$C:$C,"Germany",'MAIN DATA, Orders'!$G:$G,"Drone",'MAIN DATA, Orders'!$Q:$Q,"&gt;=25")/1000000000)
+ (SUMIFS('MAIN DATA, Orders'!$M:$M,'MAIN DATA, Orders'!$C:$C,"Germany",'MAIN DATA, Orders'!$G:$G,"Development - Drone",'MAIN DATA, Orders'!$Q:$Q,"&gt;=25")/1000000000)
+ (SUMIFS('MAIN DATA, Orders'!$M:$M,'MAIN DATA, Orders'!$C:$C,"Germany",'MAIN DATA, Orders'!$G:$G,"Helicopter",'MAIN DATA, Orders'!$Q:$Q,"&gt;=25")/1000000000)
+ (SUMIFS('MAIN DATA, Orders'!$M:$M,'MAIN DATA, Orders'!$C:$C,"Germany",'MAIN DATA, Orders'!$G:$G,"Development - Helicopter",'MAIN DATA, Orders'!$Q:$Q,"&gt;=25")/1000000000)
+ (SUMIFS('MAIN DATA, Orders'!$M:$M,'MAIN DATA, Orders'!$C:$C,"Germany",'MAIN DATA, Orders'!$G:$G,"Infantry",'MAIN DATA, Orders'!$Q:$Q,"&gt;=25")/1000000000)
+ (SUMIFS('MAIN DATA, Orders'!$M:$M,'MAIN DATA, Orders'!$C:$C,"Germany",'MAIN DATA, Orders'!$G:$G,"Development - Infantry",'MAIN DATA, Orders'!$Q:$Q,"&gt;=25")/1000000000)
+ (SUMIFS('MAIN DATA, Orders'!$M:$M,'MAIN DATA, Orders'!$C:$C,"Germany",'MAIN DATA, Orders'!$G:$G,"Tank",'MAIN DATA, Orders'!$Q:$Q,"&gt;=25")/1000000000)
+ (SUMIFS('MAIN DATA, Orders'!$M:$M,'MAIN DATA, Orders'!$C:$C,"Germany",'MAIN DATA, Orders'!$G:$G,"Development - Tank",'MAIN DATA, Orders'!$Q:$Q,"&gt;=25")/1000000000)
+ (SUMIFS('MAIN DATA, Orders'!$M:$M,'MAIN DATA, Orders'!$C:$C,"Germany",'MAIN DATA, Orders'!$G:$G,"Mine",'MAIN DATA, Orders'!$Q:$Q,"&gt;=25")/1000000000)
+ (SUMIFS('MAIN DATA, Orders'!$M:$M,'MAIN DATA, Orders'!$C:$C,"Germany",'MAIN DATA, Orders'!$G:$G,"Development - Mine",'MAIN DATA, Orders'!$Q:$Q,"&gt;=25")/1000000000)
+ (SUMIFS('MAIN DATA, Orders'!$M:$M,'MAIN DATA, Orders'!$C:$C,"Germany",'MAIN DATA, Orders'!$G:$G,"Missile (Land)",'MAIN DATA, Orders'!$Q:$Q,"&gt;=25")/1000000000)
+ (SUMIFS('MAIN DATA, Orders'!$M:$M,'MAIN DATA, Orders'!$C:$C,"Germany",'MAIN DATA, Orders'!$G:$G,"Development - Missile (Land)",'MAIN DATA, Orders'!$Q:$Q,"&gt;=25")/1000000000)</f>
        <v>38.717500000000001</v>
      </c>
      <c r="K8" s="61">
        <f>(SUMIFS('MAIN DATA, Orders'!$M:$M,'MAIN DATA, Orders'!$C:$C,"Germany",'MAIN DATA, Orders'!$G:$G,"Maintenance",'MAIN DATA, Orders'!$Q:$Q,"&lt;=24")/1000000000)
+ (SUMIFS('MAIN DATA, Orders'!$M:$M,'MAIN DATA, Orders'!$C:$C,"Germany",'MAIN DATA, Orders'!$G:$G,"Development - Maintenance",'MAIN DATA, Orders'!$Q:$Q,"&lt;=24")/1000000000)
+ (SUMIFS('MAIN DATA, Orders'!$M:$M,'MAIN DATA, Orders'!$C:$C,"Germany",'MAIN DATA, Orders'!$G:$G,"Modernisation",'MAIN DATA, Orders'!$Q:$Q,"&lt;=24")/1000000000)
+ (SUMIFS('MAIN DATA, Orders'!$M:$M,'MAIN DATA, Orders'!$C:$C,"Germany",'MAIN DATA, Orders'!$G:$G,"Development - Modernisation",'MAIN DATA, Orders'!$Q:$Q,"&lt;=24")/1000000000)
+ (SUMIFS('MAIN DATA, Orders'!$M:$M,'MAIN DATA, Orders'!$C:$C,"Germany",'MAIN DATA, Orders'!$G:$G,"Other",'MAIN DATA, Orders'!$Q:$Q,"&lt;=24")/1000000000)
+ (SUMIFS('MAIN DATA, Orders'!$M:$M,'MAIN DATA, Orders'!$C:$C,"Germany",'MAIN DATA, Orders'!$G:$G,"Development - Other",'MAIN DATA, Orders'!$Q:$Q,"&lt;=24")/1000000000)</f>
        <v>11.672000000000001</v>
      </c>
      <c r="L8" s="61">
        <f>(SUMIFS('MAIN DATA, Orders'!$M:$M,'MAIN DATA, Orders'!$C:$C,"Germany",'MAIN DATA, Orders'!$G:$G,"Maintenance",'MAIN DATA, Orders'!$Q:$Q,"&gt;=25")/1000000000)
+ (SUMIFS('MAIN DATA, Orders'!$M:$M,'MAIN DATA, Orders'!$C:$C,"Germany",'MAIN DATA, Orders'!$G:$G,"Development - Maintenance",'MAIN DATA, Orders'!$Q:$Q,"&gt;=25")/1000000000)
+ (SUMIFS('MAIN DATA, Orders'!$M:$M,'MAIN DATA, Orders'!$C:$C,"Germany",'MAIN DATA, Orders'!$G:$G,"Modernisation",'MAIN DATA, Orders'!$Q:$Q,"&gt;=25")/1000000000)
+ (SUMIFS('MAIN DATA, Orders'!$M:$M,'MAIN DATA, Orders'!$C:$C,"Germany",'MAIN DATA, Orders'!$G:$G,"Development - Modernisation",'MAIN DATA, Orders'!$Q:$Q,"&gt;=25")/1000000000)
+ (SUMIFS('MAIN DATA, Orders'!$M:$M,'MAIN DATA, Orders'!$C:$C,"Germany",'MAIN DATA, Orders'!$G:$G,"Other",'MAIN DATA, Orders'!$Q:$Q,"&gt;=25")/1000000000)
+ (SUMIFS('MAIN DATA, Orders'!$M:$M,'MAIN DATA, Orders'!$C:$C,"Germany",'MAIN DATA, Orders'!$G:$G,"Development - Other",'MAIN DATA, Orders'!$Q:$Q,"&gt;=25")/1000000000)</f>
        <v>32.238190000000003</v>
      </c>
    </row>
    <row r="9" spans="2:17">
      <c r="B9" s="148" t="s">
        <v>1618</v>
      </c>
      <c r="C9" s="149" t="s">
        <v>162</v>
      </c>
      <c r="D9" s="149" t="s">
        <v>162</v>
      </c>
      <c r="E9" s="150">
        <f>E8/C8</f>
        <v>0.3104221251124864</v>
      </c>
      <c r="F9" s="150">
        <f>F8/D8</f>
        <v>0.1089831448289952</v>
      </c>
      <c r="G9" s="150">
        <f>G8/C8</f>
        <v>0.33848754202817516</v>
      </c>
      <c r="H9" s="150">
        <f>H8/D8</f>
        <v>0.10144638378460241</v>
      </c>
      <c r="I9" s="150">
        <f>I8/C8</f>
        <v>0.10678805760393136</v>
      </c>
      <c r="J9" s="150">
        <f>J8/D8</f>
        <v>0.43083500034885197</v>
      </c>
      <c r="K9" s="150">
        <f>K8/C8</f>
        <v>0.24430227525540701</v>
      </c>
      <c r="L9" s="150">
        <f>L8/D8</f>
        <v>0.35873547103755038</v>
      </c>
    </row>
    <row r="12" spans="2:17">
      <c r="E12" s="70"/>
      <c r="F12" s="70"/>
      <c r="G12" s="70"/>
      <c r="H12" s="70"/>
      <c r="I12" s="70"/>
      <c r="J12" s="70"/>
      <c r="K12" s="70"/>
      <c r="L12" s="70"/>
    </row>
  </sheetData>
  <mergeCells count="7">
    <mergeCell ref="B2:Q2"/>
    <mergeCell ref="B4:L4"/>
    <mergeCell ref="C6:D6"/>
    <mergeCell ref="E6:F6"/>
    <mergeCell ref="G6:H6"/>
    <mergeCell ref="I6:J6"/>
    <mergeCell ref="K6:L6"/>
  </mergeCells>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44737-1600-4BD2-84ED-8DA8C6258541}">
  <sheetPr>
    <tabColor theme="8" tint="0.59999389629810485"/>
  </sheetPr>
  <dimension ref="B2:S23"/>
  <sheetViews>
    <sheetView zoomScaleNormal="100" workbookViewId="0"/>
  </sheetViews>
  <sheetFormatPr defaultColWidth="8.69921875" defaultRowHeight="15.6"/>
  <cols>
    <col min="1" max="1" width="8.69921875" style="1"/>
    <col min="2" max="2" width="21.5" style="1" customWidth="1"/>
    <col min="3" max="3" width="14" style="1" bestFit="1" customWidth="1"/>
    <col min="4" max="4" width="13.69921875" style="1" bestFit="1" customWidth="1"/>
    <col min="5" max="5" width="15.69921875" style="1" bestFit="1" customWidth="1"/>
    <col min="6" max="6" width="15" style="1" bestFit="1" customWidth="1"/>
    <col min="7" max="16384" width="8.69921875" style="1"/>
  </cols>
  <sheetData>
    <row r="2" spans="2:19" ht="25.2">
      <c r="B2" s="193" t="s">
        <v>1619</v>
      </c>
    </row>
    <row r="4" spans="2:19" ht="130.19999999999999" customHeight="1">
      <c r="B4" s="206" t="s">
        <v>1620</v>
      </c>
      <c r="C4" s="206"/>
      <c r="D4" s="206"/>
      <c r="E4" s="206"/>
      <c r="F4" s="206"/>
      <c r="G4" s="206"/>
      <c r="H4" s="206"/>
      <c r="I4" s="206"/>
      <c r="J4" s="206"/>
      <c r="N4" s="206"/>
      <c r="O4" s="206"/>
      <c r="P4" s="206"/>
      <c r="Q4" s="206"/>
      <c r="R4" s="206"/>
      <c r="S4" s="206"/>
    </row>
    <row r="6" spans="2:19" ht="21" customHeight="1">
      <c r="B6" s="161" t="s">
        <v>1576</v>
      </c>
      <c r="C6" s="161" t="s">
        <v>1621</v>
      </c>
      <c r="D6" s="161" t="s">
        <v>1622</v>
      </c>
      <c r="E6" s="161" t="s">
        <v>1623</v>
      </c>
      <c r="F6" s="161" t="s">
        <v>1624</v>
      </c>
    </row>
    <row r="7" spans="2:19">
      <c r="B7" s="199" t="s">
        <v>1585</v>
      </c>
      <c r="C7" s="199">
        <v>226</v>
      </c>
      <c r="D7" s="168">
        <f>SUMIFS('MAIN DATA, Orders'!I:I,'MAIN DATA, Orders'!F:F,"Fighter aircraft",'MAIN DATA, Orders'!Q:Q,"&gt;=26")</f>
        <v>35</v>
      </c>
      <c r="E7" s="199">
        <v>0</v>
      </c>
      <c r="F7" s="199">
        <f t="shared" ref="F7:F12" si="0">SUM(C7:E7)</f>
        <v>261</v>
      </c>
    </row>
    <row r="8" spans="2:19">
      <c r="B8" s="199" t="s">
        <v>1587</v>
      </c>
      <c r="C8" s="199">
        <v>339</v>
      </c>
      <c r="D8" s="168">
        <f>SUMIFS('MAIN DATA, Orders'!I:I,'MAIN DATA, Orders'!F:F,"Main Battle Tank (MBT)",'MAIN DATA, Orders'!Q:Q,"&gt;=26")</f>
        <v>123</v>
      </c>
      <c r="E8" s="199">
        <v>-18</v>
      </c>
      <c r="F8" s="199">
        <f t="shared" si="0"/>
        <v>444</v>
      </c>
    </row>
    <row r="9" spans="2:19">
      <c r="B9" s="199" t="s">
        <v>1588</v>
      </c>
      <c r="C9" s="199">
        <v>674</v>
      </c>
      <c r="D9" s="168">
        <f>SUMIFS('MAIN DATA, Orders'!I:I,'MAIN DATA, Orders'!F:F,"Infantry Fighting Vehicle (IFV)",'MAIN DATA, Orders'!Q:Q,"&gt;=26")</f>
        <v>193</v>
      </c>
      <c r="E9" s="199">
        <v>-140</v>
      </c>
      <c r="F9" s="199">
        <f t="shared" si="0"/>
        <v>727</v>
      </c>
    </row>
    <row r="10" spans="2:19">
      <c r="B10" s="199" t="s">
        <v>1589</v>
      </c>
      <c r="C10" s="199">
        <v>2067</v>
      </c>
      <c r="D10" s="168">
        <f>SUMIFS('MAIN DATA, Orders'!I:I, 'MAIN DATA, Orders'!F:F, "Special forces vehicle", 'MAIN DATA, Orders'!Q:Q, "&gt;=26")
+ SUMIFS('MAIN DATA, Orders'!I:I, 'MAIN DATA, Orders'!F:F, "Armoured personnel carrier (APC)", 'MAIN DATA, Orders'!Q:Q, "&gt;=26")
+ SUMIFS('MAIN DATA, Orders'!I:I, 'MAIN DATA, Orders'!F:F, "All-terrain vehicle", 'MAIN DATA, Orders'!Q:Q, "&gt;=26")
+ SUMIFS('MAIN DATA, Orders'!I:I, 'MAIN DATA, Orders'!F:F, "Light air assault vehicle", 'MAIN DATA, Orders'!Q:Q, "&gt;=26")
+ SUMIFS('MAIN DATA, Orders'!I:I, 'MAIN DATA, Orders'!F:F, "Infantry mobility vehicle", 'MAIN DATA, Orders'!Q:Q, "&gt;=26")</f>
        <v>1925</v>
      </c>
      <c r="E10" s="199">
        <v>-239</v>
      </c>
      <c r="F10" s="199">
        <f t="shared" si="0"/>
        <v>3753</v>
      </c>
    </row>
    <row r="11" spans="2:19">
      <c r="B11" s="199" t="s">
        <v>1590</v>
      </c>
      <c r="C11" s="199">
        <v>121</v>
      </c>
      <c r="D11" s="168">
        <f>SUMIFS('MAIN DATA, Orders'!I:I,'MAIN DATA, Orders'!G:G,"Artillery",'MAIN DATA, Orders'!Q:Q,"&gt;=26")</f>
        <v>22</v>
      </c>
      <c r="E11" s="199">
        <v>-32</v>
      </c>
      <c r="F11" s="199">
        <f t="shared" si="0"/>
        <v>111</v>
      </c>
    </row>
    <row r="12" spans="2:19">
      <c r="B12" s="151" t="s">
        <v>1591</v>
      </c>
      <c r="C12" s="151">
        <v>12</v>
      </c>
      <c r="D12" s="174">
        <f>SUMIFS('MAIN DATA, Orders'!I:I,'MAIN DATA, Orders'!$G:$G,"Air defence system",'MAIN DATA, Orders'!$E:$E,"&lt;&gt;Cryptographic and radio device for Patriot system",'MAIN DATA, Orders'!Q:Q,"&gt;=26",'MAIN DATA, Orders'!$E:$E,"&lt;&gt;Skyranger")</f>
        <v>15</v>
      </c>
      <c r="E12" s="151">
        <v>-14</v>
      </c>
      <c r="F12" s="151">
        <f t="shared" si="0"/>
        <v>13</v>
      </c>
    </row>
    <row r="15" spans="2:19">
      <c r="D15" s="199"/>
    </row>
    <row r="16" spans="2:19">
      <c r="D16" s="199"/>
    </row>
    <row r="17" spans="4:5">
      <c r="D17" s="199"/>
    </row>
    <row r="18" spans="4:5">
      <c r="D18" s="199"/>
    </row>
    <row r="19" spans="4:5">
      <c r="D19" s="199"/>
    </row>
    <row r="20" spans="4:5">
      <c r="D20" s="199"/>
    </row>
    <row r="23" spans="4:5">
      <c r="E23"/>
    </row>
  </sheetData>
  <mergeCells count="2">
    <mergeCell ref="N4:S4"/>
    <mergeCell ref="B4:J4"/>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B6D8E-B1CD-4AEC-B2E8-2C22C2BCF7C1}">
  <sheetPr>
    <tabColor theme="8" tint="0.59999389629810485"/>
  </sheetPr>
  <dimension ref="A2:H63"/>
  <sheetViews>
    <sheetView workbookViewId="0"/>
  </sheetViews>
  <sheetFormatPr defaultColWidth="8.69921875" defaultRowHeight="15.6"/>
  <cols>
    <col min="1" max="1" width="8.69921875" style="1"/>
    <col min="2" max="2" width="13.5" style="1" customWidth="1"/>
    <col min="3" max="4" width="20.69921875" style="1" bestFit="1" customWidth="1"/>
    <col min="5" max="5" width="20.69921875" style="1" customWidth="1"/>
    <col min="6" max="16384" width="8.69921875" style="1"/>
  </cols>
  <sheetData>
    <row r="2" spans="1:8" ht="25.2">
      <c r="B2" s="67" t="s">
        <v>1625</v>
      </c>
    </row>
    <row r="4" spans="1:8" ht="130.19999999999999" customHeight="1">
      <c r="B4" s="206" t="s">
        <v>1626</v>
      </c>
      <c r="C4" s="206"/>
      <c r="D4" s="206"/>
      <c r="E4" s="206"/>
      <c r="F4" s="206"/>
      <c r="G4" s="206"/>
      <c r="H4" s="206"/>
    </row>
    <row r="6" spans="1:8" ht="21" customHeight="1">
      <c r="B6" s="161" t="s">
        <v>1404</v>
      </c>
      <c r="C6" s="162" t="s">
        <v>165</v>
      </c>
      <c r="D6" s="162" t="s">
        <v>665</v>
      </c>
      <c r="E6" s="162" t="s">
        <v>784</v>
      </c>
    </row>
    <row r="7" spans="1:8">
      <c r="A7" s="72">
        <v>1</v>
      </c>
      <c r="B7" s="68">
        <v>43831</v>
      </c>
      <c r="C7" s="61">
        <f>(SUMIFS('MAIN DATA, Orders'!$M:$M,'MAIN DATA, Orders'!$Q:$Q,$A7,'MAIN DATA, Orders'!$C:$C,"Germany",'MAIN DATA, Orders'!$N:$N,"Einzelplan 14")/1000000000)</f>
        <v>0</v>
      </c>
      <c r="D7" s="61">
        <f>(SUMIFS('MAIN DATA, Orders'!$M:$M,'MAIN DATA, Orders'!$Q:$Q,$A7,'MAIN DATA, Orders'!$C:$C,"Germany",'MAIN DATA, Orders'!$N:$N,"Sondervermögen")/1000000000)</f>
        <v>0</v>
      </c>
      <c r="E7" s="61">
        <f>(SUMIFS('MAIN DATA, Orders'!$M:$M,'MAIN DATA, Orders'!$Q:$Q,$A7,'MAIN DATA, Orders'!$C:$C,"Germany",'MAIN DATA, Orders'!$N:$N,"Einzelplan 60")/1000000000)</f>
        <v>0</v>
      </c>
    </row>
    <row r="8" spans="1:8">
      <c r="A8" s="72">
        <v>2</v>
      </c>
      <c r="B8" s="68">
        <v>43862</v>
      </c>
      <c r="C8" s="61">
        <f>(SUMIFS('MAIN DATA, Orders'!$M:$M,'MAIN DATA, Orders'!$Q:$Q,$A8,'MAIN DATA, Orders'!$C:$C,"Germany",'MAIN DATA, Orders'!$N:$N,"Einzelplan 14")/1000000000)</f>
        <v>0</v>
      </c>
      <c r="D8" s="61">
        <f>(SUMIFS('MAIN DATA, Orders'!$M:$M,'MAIN DATA, Orders'!$Q:$Q,$A8,'MAIN DATA, Orders'!$C:$C,"Germany",'MAIN DATA, Orders'!$N:$N,"Sondervermögen")/1000000000)</f>
        <v>0</v>
      </c>
      <c r="E8" s="61">
        <f>(SUMIFS('MAIN DATA, Orders'!$M:$M,'MAIN DATA, Orders'!$Q:$Q,$A8,'MAIN DATA, Orders'!$C:$C,"Germany",'MAIN DATA, Orders'!$N:$N,"Einzelplan 60")/1000000000)</f>
        <v>0</v>
      </c>
    </row>
    <row r="9" spans="1:8">
      <c r="A9" s="72">
        <v>3</v>
      </c>
      <c r="B9" s="68">
        <v>43891</v>
      </c>
      <c r="C9" s="61">
        <f>(SUMIFS('MAIN DATA, Orders'!$M:$M,'MAIN DATA, Orders'!$Q:$Q,$A9,'MAIN DATA, Orders'!$C:$C,"Germany",'MAIN DATA, Orders'!$N:$N,"Einzelplan 14")/1000000000)</f>
        <v>0</v>
      </c>
      <c r="D9" s="61">
        <f>(SUMIFS('MAIN DATA, Orders'!$M:$M,'MAIN DATA, Orders'!$Q:$Q,$A9,'MAIN DATA, Orders'!$C:$C,"Germany",'MAIN DATA, Orders'!$N:$N,"Sondervermögen")/1000000000)</f>
        <v>0</v>
      </c>
      <c r="E9" s="61">
        <f>(SUMIFS('MAIN DATA, Orders'!$M:$M,'MAIN DATA, Orders'!$Q:$Q,$A9,'MAIN DATA, Orders'!$C:$C,"Germany",'MAIN DATA, Orders'!$N:$N,"Einzelplan 60")/1000000000)</f>
        <v>0</v>
      </c>
    </row>
    <row r="10" spans="1:8">
      <c r="A10" s="72">
        <v>4</v>
      </c>
      <c r="B10" s="68">
        <v>43922</v>
      </c>
      <c r="C10" s="61">
        <f>(SUMIFS('MAIN DATA, Orders'!$M:$M,'MAIN DATA, Orders'!$Q:$Q,$A10,'MAIN DATA, Orders'!$C:$C,"Germany",'MAIN DATA, Orders'!$N:$N,"Einzelplan 14")/1000000000)</f>
        <v>0</v>
      </c>
      <c r="D10" s="61">
        <f>(SUMIFS('MAIN DATA, Orders'!$M:$M,'MAIN DATA, Orders'!$Q:$Q,$A10,'MAIN DATA, Orders'!$C:$C,"Germany",'MAIN DATA, Orders'!$N:$N,"Sondervermögen")/1000000000)</f>
        <v>0</v>
      </c>
      <c r="E10" s="61">
        <f>(SUMIFS('MAIN DATA, Orders'!$M:$M,'MAIN DATA, Orders'!$Q:$Q,$A10,'MAIN DATA, Orders'!$C:$C,"Germany",'MAIN DATA, Orders'!$N:$N,"Einzelplan 60")/1000000000)</f>
        <v>0</v>
      </c>
    </row>
    <row r="11" spans="1:8">
      <c r="A11" s="72">
        <v>5</v>
      </c>
      <c r="B11" s="68">
        <v>43952</v>
      </c>
      <c r="C11" s="61">
        <f>(SUMIFS('MAIN DATA, Orders'!$M:$M,'MAIN DATA, Orders'!$Q:$Q,$A11,'MAIN DATA, Orders'!$C:$C,"Germany",'MAIN DATA, Orders'!$N:$N,"Einzelplan 14")/1000000000)</f>
        <v>0.03</v>
      </c>
      <c r="D11" s="61">
        <f>(SUMIFS('MAIN DATA, Orders'!$M:$M,'MAIN DATA, Orders'!$Q:$Q,$A11,'MAIN DATA, Orders'!$C:$C,"Germany",'MAIN DATA, Orders'!$N:$N,"Sondervermögen")/1000000000)</f>
        <v>0</v>
      </c>
      <c r="E11" s="61">
        <f>(SUMIFS('MAIN DATA, Orders'!$M:$M,'MAIN DATA, Orders'!$Q:$Q,$A11,'MAIN DATA, Orders'!$C:$C,"Germany",'MAIN DATA, Orders'!$N:$N,"Einzelplan 60")/1000000000)</f>
        <v>0</v>
      </c>
    </row>
    <row r="12" spans="1:8">
      <c r="A12" s="72">
        <v>6</v>
      </c>
      <c r="B12" s="68">
        <v>43983</v>
      </c>
      <c r="C12" s="61">
        <f>(SUMIFS('MAIN DATA, Orders'!$M:$M,'MAIN DATA, Orders'!$Q:$Q,$A12,'MAIN DATA, Orders'!$C:$C,"Germany",'MAIN DATA, Orders'!$N:$N,"Einzelplan 14")/1000000000)</f>
        <v>13</v>
      </c>
      <c r="D12" s="61">
        <f>(SUMIFS('MAIN DATA, Orders'!$M:$M,'MAIN DATA, Orders'!$Q:$Q,$A12,'MAIN DATA, Orders'!$C:$C,"Germany",'MAIN DATA, Orders'!$N:$N,"Sondervermögen")/1000000000)</f>
        <v>0</v>
      </c>
      <c r="E12" s="61">
        <f>(SUMIFS('MAIN DATA, Orders'!$M:$M,'MAIN DATA, Orders'!$Q:$Q,$A12,'MAIN DATA, Orders'!$C:$C,"Germany",'MAIN DATA, Orders'!$N:$N,"Einzelplan 60")/1000000000)</f>
        <v>0</v>
      </c>
    </row>
    <row r="13" spans="1:8">
      <c r="A13" s="72">
        <v>7</v>
      </c>
      <c r="B13" s="68">
        <v>44013</v>
      </c>
      <c r="C13" s="61">
        <f>(SUMIFS('MAIN DATA, Orders'!$M:$M,'MAIN DATA, Orders'!$Q:$Q,$A13,'MAIN DATA, Orders'!$C:$C,"Germany",'MAIN DATA, Orders'!$N:$N,"Einzelplan 14")/1000000000)</f>
        <v>0</v>
      </c>
      <c r="D13" s="61">
        <f>(SUMIFS('MAIN DATA, Orders'!$M:$M,'MAIN DATA, Orders'!$Q:$Q,$A13,'MAIN DATA, Orders'!$C:$C,"Germany",'MAIN DATA, Orders'!$N:$N,"Sondervermögen")/1000000000)</f>
        <v>0</v>
      </c>
      <c r="E13" s="61">
        <f>(SUMIFS('MAIN DATA, Orders'!$M:$M,'MAIN DATA, Orders'!$Q:$Q,$A13,'MAIN DATA, Orders'!$C:$C,"Germany",'MAIN DATA, Orders'!$N:$N,"Einzelplan 60")/1000000000)</f>
        <v>0</v>
      </c>
    </row>
    <row r="14" spans="1:8">
      <c r="A14" s="72">
        <v>8</v>
      </c>
      <c r="B14" s="68">
        <v>44044</v>
      </c>
      <c r="C14" s="61">
        <f>(SUMIFS('MAIN DATA, Orders'!$M:$M,'MAIN DATA, Orders'!$Q:$Q,$A14,'MAIN DATA, Orders'!$C:$C,"Germany",'MAIN DATA, Orders'!$N:$N,"Einzelplan 14")/1000000000)</f>
        <v>0.35</v>
      </c>
      <c r="D14" s="61">
        <f>(SUMIFS('MAIN DATA, Orders'!$M:$M,'MAIN DATA, Orders'!$Q:$Q,$A14,'MAIN DATA, Orders'!$C:$C,"Germany",'MAIN DATA, Orders'!$N:$N,"Sondervermögen")/1000000000)</f>
        <v>0</v>
      </c>
      <c r="E14" s="61">
        <f>(SUMIFS('MAIN DATA, Orders'!$M:$M,'MAIN DATA, Orders'!$Q:$Q,$A14,'MAIN DATA, Orders'!$C:$C,"Germany",'MAIN DATA, Orders'!$N:$N,"Einzelplan 60")/1000000000)</f>
        <v>0</v>
      </c>
    </row>
    <row r="15" spans="1:8">
      <c r="A15" s="72">
        <v>9</v>
      </c>
      <c r="B15" s="68">
        <v>44075</v>
      </c>
      <c r="C15" s="61">
        <f>(SUMIFS('MAIN DATA, Orders'!$M:$M,'MAIN DATA, Orders'!$Q:$Q,$A15,'MAIN DATA, Orders'!$C:$C,"Germany",'MAIN DATA, Orders'!$N:$N,"Einzelplan 14")/1000000000)</f>
        <v>2.3839999999999999</v>
      </c>
      <c r="D15" s="61">
        <f>(SUMIFS('MAIN DATA, Orders'!$M:$M,'MAIN DATA, Orders'!$Q:$Q,$A15,'MAIN DATA, Orders'!$C:$C,"Germany",'MAIN DATA, Orders'!$N:$N,"Sondervermögen")/1000000000)</f>
        <v>0</v>
      </c>
      <c r="E15" s="61">
        <f>(SUMIFS('MAIN DATA, Orders'!$M:$M,'MAIN DATA, Orders'!$Q:$Q,$A15,'MAIN DATA, Orders'!$C:$C,"Germany",'MAIN DATA, Orders'!$N:$N,"Einzelplan 60")/1000000000)</f>
        <v>0</v>
      </c>
    </row>
    <row r="16" spans="1:8">
      <c r="A16" s="72">
        <v>10</v>
      </c>
      <c r="B16" s="68">
        <v>44105</v>
      </c>
      <c r="C16" s="61">
        <f>(SUMIFS('MAIN DATA, Orders'!$M:$M,'MAIN DATA, Orders'!$Q:$Q,$A16,'MAIN DATA, Orders'!$C:$C,"Germany",'MAIN DATA, Orders'!$N:$N,"Einzelplan 14")/1000000000)</f>
        <v>0.04</v>
      </c>
      <c r="D16" s="61">
        <f>(SUMIFS('MAIN DATA, Orders'!$M:$M,'MAIN DATA, Orders'!$Q:$Q,$A16,'MAIN DATA, Orders'!$C:$C,"Germany",'MAIN DATA, Orders'!$N:$N,"Sondervermögen")/1000000000)</f>
        <v>0</v>
      </c>
      <c r="E16" s="61">
        <f>(SUMIFS('MAIN DATA, Orders'!$M:$M,'MAIN DATA, Orders'!$Q:$Q,$A16,'MAIN DATA, Orders'!$C:$C,"Germany",'MAIN DATA, Orders'!$N:$N,"Einzelplan 60")/1000000000)</f>
        <v>0</v>
      </c>
    </row>
    <row r="17" spans="1:5">
      <c r="A17" s="72">
        <v>11</v>
      </c>
      <c r="B17" s="68">
        <v>44136</v>
      </c>
      <c r="C17" s="61">
        <f>(SUMIFS('MAIN DATA, Orders'!$M:$M,'MAIN DATA, Orders'!$Q:$Q,$A17,'MAIN DATA, Orders'!$C:$C,"Germany",'MAIN DATA, Orders'!$N:$N,"Einzelplan 14")/1000000000)</f>
        <v>8.7080000000000002</v>
      </c>
      <c r="D17" s="61">
        <f>(SUMIFS('MAIN DATA, Orders'!$M:$M,'MAIN DATA, Orders'!$Q:$Q,$A17,'MAIN DATA, Orders'!$C:$C,"Germany",'MAIN DATA, Orders'!$N:$N,"Sondervermögen")/1000000000)</f>
        <v>0</v>
      </c>
      <c r="E17" s="61">
        <f>(SUMIFS('MAIN DATA, Orders'!$M:$M,'MAIN DATA, Orders'!$Q:$Q,$A17,'MAIN DATA, Orders'!$C:$C,"Germany",'MAIN DATA, Orders'!$N:$N,"Einzelplan 60")/1000000000)</f>
        <v>0</v>
      </c>
    </row>
    <row r="18" spans="1:5">
      <c r="A18" s="72">
        <v>12</v>
      </c>
      <c r="B18" s="68">
        <v>44166</v>
      </c>
      <c r="C18" s="61">
        <f>(SUMIFS('MAIN DATA, Orders'!$M:$M,'MAIN DATA, Orders'!$Q:$Q,$A18,'MAIN DATA, Orders'!$C:$C,"Germany",'MAIN DATA, Orders'!$N:$N,"Einzelplan 14")/1000000000)</f>
        <v>0.45</v>
      </c>
      <c r="D18" s="61">
        <f>(SUMIFS('MAIN DATA, Orders'!$M:$M,'MAIN DATA, Orders'!$Q:$Q,$A18,'MAIN DATA, Orders'!$C:$C,"Germany",'MAIN DATA, Orders'!$N:$N,"Sondervermögen")/1000000000)</f>
        <v>0</v>
      </c>
      <c r="E18" s="61">
        <f>(SUMIFS('MAIN DATA, Orders'!$M:$M,'MAIN DATA, Orders'!$Q:$Q,$A18,'MAIN DATA, Orders'!$C:$C,"Germany",'MAIN DATA, Orders'!$N:$N,"Einzelplan 60")/1000000000)</f>
        <v>0</v>
      </c>
    </row>
    <row r="19" spans="1:5">
      <c r="A19" s="72">
        <v>13</v>
      </c>
      <c r="B19" s="68">
        <v>44197</v>
      </c>
      <c r="C19" s="61">
        <f>(SUMIFS('MAIN DATA, Orders'!$M:$M,'MAIN DATA, Orders'!$Q:$Q,$A19,'MAIN DATA, Orders'!$C:$C,"Germany",'MAIN DATA, Orders'!$N:$N,"Einzelplan 14")/1000000000)</f>
        <v>0</v>
      </c>
      <c r="D19" s="61">
        <f>(SUMIFS('MAIN DATA, Orders'!$M:$M,'MAIN DATA, Orders'!$Q:$Q,$A19,'MAIN DATA, Orders'!$C:$C,"Germany",'MAIN DATA, Orders'!$N:$N,"Sondervermögen")/1000000000)</f>
        <v>0</v>
      </c>
      <c r="E19" s="61">
        <f>(SUMIFS('MAIN DATA, Orders'!$M:$M,'MAIN DATA, Orders'!$Q:$Q,$A19,'MAIN DATA, Orders'!$C:$C,"Germany",'MAIN DATA, Orders'!$N:$N,"Einzelplan 60")/1000000000)</f>
        <v>0</v>
      </c>
    </row>
    <row r="20" spans="1:5">
      <c r="A20" s="72">
        <v>14</v>
      </c>
      <c r="B20" s="68">
        <v>44228</v>
      </c>
      <c r="C20" s="61">
        <f>(SUMIFS('MAIN DATA, Orders'!$M:$M,'MAIN DATA, Orders'!$Q:$Q,$A20,'MAIN DATA, Orders'!$C:$C,"Germany",'MAIN DATA, Orders'!$N:$N,"Einzelplan 14")/1000000000)</f>
        <v>8.7999999999999995E-2</v>
      </c>
      <c r="D20" s="61">
        <f>(SUMIFS('MAIN DATA, Orders'!$M:$M,'MAIN DATA, Orders'!$Q:$Q,$A20,'MAIN DATA, Orders'!$C:$C,"Germany",'MAIN DATA, Orders'!$N:$N,"Sondervermögen")/1000000000)</f>
        <v>0</v>
      </c>
      <c r="E20" s="61">
        <f>(SUMIFS('MAIN DATA, Orders'!$M:$M,'MAIN DATA, Orders'!$Q:$Q,$A20,'MAIN DATA, Orders'!$C:$C,"Germany",'MAIN DATA, Orders'!$N:$N,"Einzelplan 60")/1000000000)</f>
        <v>0</v>
      </c>
    </row>
    <row r="21" spans="1:5">
      <c r="A21" s="72">
        <v>15</v>
      </c>
      <c r="B21" s="68">
        <v>44256</v>
      </c>
      <c r="C21" s="61">
        <f>(SUMIFS('MAIN DATA, Orders'!$M:$M,'MAIN DATA, Orders'!$Q:$Q,$A21,'MAIN DATA, Orders'!$C:$C,"Germany",'MAIN DATA, Orders'!$N:$N,"Einzelplan 14")/1000000000)</f>
        <v>0</v>
      </c>
      <c r="D21" s="61">
        <f>(SUMIFS('MAIN DATA, Orders'!$M:$M,'MAIN DATA, Orders'!$Q:$Q,$A21,'MAIN DATA, Orders'!$C:$C,"Germany",'MAIN DATA, Orders'!$N:$N,"Sondervermögen")/1000000000)</f>
        <v>0</v>
      </c>
      <c r="E21" s="61">
        <f>(SUMIFS('MAIN DATA, Orders'!$M:$M,'MAIN DATA, Orders'!$Q:$Q,$A21,'MAIN DATA, Orders'!$C:$C,"Germany",'MAIN DATA, Orders'!$N:$N,"Einzelplan 60")/1000000000)</f>
        <v>0</v>
      </c>
    </row>
    <row r="22" spans="1:5">
      <c r="A22" s="72">
        <v>16</v>
      </c>
      <c r="B22" s="68">
        <v>44287</v>
      </c>
      <c r="C22" s="61">
        <f>(SUMIFS('MAIN DATA, Orders'!$M:$M,'MAIN DATA, Orders'!$Q:$Q,$A22,'MAIN DATA, Orders'!$C:$C,"Germany",'MAIN DATA, Orders'!$N:$N,"Einzelplan 14")/1000000000)</f>
        <v>3.7</v>
      </c>
      <c r="D22" s="61">
        <f>(SUMIFS('MAIN DATA, Orders'!$M:$M,'MAIN DATA, Orders'!$Q:$Q,$A22,'MAIN DATA, Orders'!$C:$C,"Germany",'MAIN DATA, Orders'!$N:$N,"Sondervermögen")/1000000000)</f>
        <v>0</v>
      </c>
      <c r="E22" s="61">
        <f>(SUMIFS('MAIN DATA, Orders'!$M:$M,'MAIN DATA, Orders'!$Q:$Q,$A22,'MAIN DATA, Orders'!$C:$C,"Germany",'MAIN DATA, Orders'!$N:$N,"Einzelplan 60")/1000000000)</f>
        <v>0</v>
      </c>
    </row>
    <row r="23" spans="1:5">
      <c r="A23" s="72">
        <v>17</v>
      </c>
      <c r="B23" s="68">
        <v>44317</v>
      </c>
      <c r="C23" s="61">
        <f>(SUMIFS('MAIN DATA, Orders'!$M:$M,'MAIN DATA, Orders'!$Q:$Q,$A23,'MAIN DATA, Orders'!$C:$C,"Germany",'MAIN DATA, Orders'!$N:$N,"Einzelplan 14")/1000000000)</f>
        <v>2.4020000000000001</v>
      </c>
      <c r="D23" s="61">
        <f>(SUMIFS('MAIN DATA, Orders'!$M:$M,'MAIN DATA, Orders'!$Q:$Q,$A23,'MAIN DATA, Orders'!$C:$C,"Germany",'MAIN DATA, Orders'!$N:$N,"Sondervermögen")/1000000000)</f>
        <v>0</v>
      </c>
      <c r="E23" s="61">
        <f>(SUMIFS('MAIN DATA, Orders'!$M:$M,'MAIN DATA, Orders'!$Q:$Q,$A23,'MAIN DATA, Orders'!$C:$C,"Germany",'MAIN DATA, Orders'!$N:$N,"Einzelplan 60")/1000000000)</f>
        <v>0</v>
      </c>
    </row>
    <row r="24" spans="1:5">
      <c r="A24" s="72">
        <v>18</v>
      </c>
      <c r="B24" s="68">
        <v>44348</v>
      </c>
      <c r="C24" s="61">
        <f>(SUMIFS('MAIN DATA, Orders'!$M:$M,'MAIN DATA, Orders'!$Q:$Q,$A24,'MAIN DATA, Orders'!$C:$C,"Germany",'MAIN DATA, Orders'!$N:$N,"Einzelplan 14")/1000000000)</f>
        <v>16.146878000000001</v>
      </c>
      <c r="D24" s="61">
        <f>(SUMIFS('MAIN DATA, Orders'!$M:$M,'MAIN DATA, Orders'!$Q:$Q,$A24,'MAIN DATA, Orders'!$C:$C,"Germany",'MAIN DATA, Orders'!$N:$N,"Sondervermögen")/1000000000)</f>
        <v>0</v>
      </c>
      <c r="E24" s="61">
        <f>(SUMIFS('MAIN DATA, Orders'!$M:$M,'MAIN DATA, Orders'!$Q:$Q,$A24,'MAIN DATA, Orders'!$C:$C,"Germany",'MAIN DATA, Orders'!$N:$N,"Einzelplan 60")/1000000000)</f>
        <v>0</v>
      </c>
    </row>
    <row r="25" spans="1:5">
      <c r="A25" s="72">
        <v>19</v>
      </c>
      <c r="B25" s="68">
        <v>44378</v>
      </c>
      <c r="C25" s="61">
        <f>(SUMIFS('MAIN DATA, Orders'!$M:$M,'MAIN DATA, Orders'!$Q:$Q,$A25,'MAIN DATA, Orders'!$C:$C,"Germany",'MAIN DATA, Orders'!$N:$N,"Einzelplan 14")/1000000000)</f>
        <v>0</v>
      </c>
      <c r="D25" s="61">
        <f>(SUMIFS('MAIN DATA, Orders'!$M:$M,'MAIN DATA, Orders'!$Q:$Q,$A25,'MAIN DATA, Orders'!$C:$C,"Germany",'MAIN DATA, Orders'!$N:$N,"Sondervermögen")/1000000000)</f>
        <v>0</v>
      </c>
      <c r="E25" s="61">
        <f>(SUMIFS('MAIN DATA, Orders'!$M:$M,'MAIN DATA, Orders'!$Q:$Q,$A25,'MAIN DATA, Orders'!$C:$C,"Germany",'MAIN DATA, Orders'!$N:$N,"Einzelplan 60")/1000000000)</f>
        <v>0</v>
      </c>
    </row>
    <row r="26" spans="1:5">
      <c r="A26" s="72">
        <v>20</v>
      </c>
      <c r="B26" s="68">
        <v>44409</v>
      </c>
      <c r="C26" s="61">
        <f>(SUMIFS('MAIN DATA, Orders'!$M:$M,'MAIN DATA, Orders'!$Q:$Q,$A26,'MAIN DATA, Orders'!$C:$C,"Germany",'MAIN DATA, Orders'!$N:$N,"Einzelplan 14")/1000000000)</f>
        <v>0</v>
      </c>
      <c r="D26" s="61">
        <f>(SUMIFS('MAIN DATA, Orders'!$M:$M,'MAIN DATA, Orders'!$Q:$Q,$A26,'MAIN DATA, Orders'!$C:$C,"Germany",'MAIN DATA, Orders'!$N:$N,"Sondervermögen")/1000000000)</f>
        <v>0</v>
      </c>
      <c r="E26" s="61">
        <f>(SUMIFS('MAIN DATA, Orders'!$M:$M,'MAIN DATA, Orders'!$Q:$Q,$A26,'MAIN DATA, Orders'!$C:$C,"Germany",'MAIN DATA, Orders'!$N:$N,"Einzelplan 60")/1000000000)</f>
        <v>0</v>
      </c>
    </row>
    <row r="27" spans="1:5">
      <c r="A27" s="72">
        <v>21</v>
      </c>
      <c r="B27" s="68">
        <v>44440</v>
      </c>
      <c r="C27" s="61">
        <f>(SUMIFS('MAIN DATA, Orders'!$M:$M,'MAIN DATA, Orders'!$Q:$Q,$A27,'MAIN DATA, Orders'!$C:$C,"Germany",'MAIN DATA, Orders'!$N:$N,"Einzelplan 14")/1000000000)</f>
        <v>0</v>
      </c>
      <c r="D27" s="61">
        <f>(SUMIFS('MAIN DATA, Orders'!$M:$M,'MAIN DATA, Orders'!$Q:$Q,$A27,'MAIN DATA, Orders'!$C:$C,"Germany",'MAIN DATA, Orders'!$N:$N,"Sondervermögen")/1000000000)</f>
        <v>0</v>
      </c>
      <c r="E27" s="61">
        <f>(SUMIFS('MAIN DATA, Orders'!$M:$M,'MAIN DATA, Orders'!$Q:$Q,$A27,'MAIN DATA, Orders'!$C:$C,"Germany",'MAIN DATA, Orders'!$N:$N,"Einzelplan 60")/1000000000)</f>
        <v>0</v>
      </c>
    </row>
    <row r="28" spans="1:5">
      <c r="A28" s="72">
        <v>22</v>
      </c>
      <c r="B28" s="68">
        <v>44470</v>
      </c>
      <c r="C28" s="61">
        <f>(SUMIFS('MAIN DATA, Orders'!$M:$M,'MAIN DATA, Orders'!$Q:$Q,$A28,'MAIN DATA, Orders'!$C:$C,"Germany",'MAIN DATA, Orders'!$N:$N,"Einzelplan 14")/1000000000)</f>
        <v>0</v>
      </c>
      <c r="D28" s="61">
        <f>(SUMIFS('MAIN DATA, Orders'!$M:$M,'MAIN DATA, Orders'!$Q:$Q,$A28,'MAIN DATA, Orders'!$C:$C,"Germany",'MAIN DATA, Orders'!$N:$N,"Sondervermögen")/1000000000)</f>
        <v>0</v>
      </c>
      <c r="E28" s="61">
        <f>(SUMIFS('MAIN DATA, Orders'!$M:$M,'MAIN DATA, Orders'!$Q:$Q,$A28,'MAIN DATA, Orders'!$C:$C,"Germany",'MAIN DATA, Orders'!$N:$N,"Einzelplan 60")/1000000000)</f>
        <v>0</v>
      </c>
    </row>
    <row r="29" spans="1:5">
      <c r="A29" s="72">
        <v>23</v>
      </c>
      <c r="B29" s="68">
        <v>44501</v>
      </c>
      <c r="C29" s="61">
        <f>(SUMIFS('MAIN DATA, Orders'!$M:$M,'MAIN DATA, Orders'!$Q:$Q,$A29,'MAIN DATA, Orders'!$C:$C,"Germany",'MAIN DATA, Orders'!$N:$N,"Einzelplan 14")/1000000000)</f>
        <v>0</v>
      </c>
      <c r="D29" s="61">
        <f>(SUMIFS('MAIN DATA, Orders'!$M:$M,'MAIN DATA, Orders'!$Q:$Q,$A29,'MAIN DATA, Orders'!$C:$C,"Germany",'MAIN DATA, Orders'!$N:$N,"Sondervermögen")/1000000000)</f>
        <v>0</v>
      </c>
      <c r="E29" s="61">
        <f>(SUMIFS('MAIN DATA, Orders'!$M:$M,'MAIN DATA, Orders'!$Q:$Q,$A29,'MAIN DATA, Orders'!$C:$C,"Germany",'MAIN DATA, Orders'!$N:$N,"Einzelplan 60")/1000000000)</f>
        <v>0</v>
      </c>
    </row>
    <row r="30" spans="1:5">
      <c r="A30" s="72">
        <v>24</v>
      </c>
      <c r="B30" s="68">
        <v>44531</v>
      </c>
      <c r="C30" s="61">
        <f>(SUMIFS('MAIN DATA, Orders'!$M:$M,'MAIN DATA, Orders'!$Q:$Q,$A30,'MAIN DATA, Orders'!$C:$C,"Germany",'MAIN DATA, Orders'!$N:$N,"Einzelplan 14")/1000000000)</f>
        <v>0</v>
      </c>
      <c r="D30" s="61">
        <f>(SUMIFS('MAIN DATA, Orders'!$M:$M,'MAIN DATA, Orders'!$Q:$Q,$A30,'MAIN DATA, Orders'!$C:$C,"Germany",'MAIN DATA, Orders'!$N:$N,"Sondervermögen")/1000000000)</f>
        <v>0</v>
      </c>
      <c r="E30" s="61">
        <f>(SUMIFS('MAIN DATA, Orders'!$M:$M,'MAIN DATA, Orders'!$Q:$Q,$A30,'MAIN DATA, Orders'!$C:$C,"Germany",'MAIN DATA, Orders'!$N:$N,"Einzelplan 60")/1000000000)</f>
        <v>0</v>
      </c>
    </row>
    <row r="31" spans="1:5">
      <c r="A31" s="72">
        <v>25</v>
      </c>
      <c r="B31" s="68">
        <v>44562</v>
      </c>
      <c r="C31" s="61">
        <f>(SUMIFS('MAIN DATA, Orders'!$M:$M,'MAIN DATA, Orders'!$Q:$Q,$A31,'MAIN DATA, Orders'!$C:$C,"Germany",'MAIN DATA, Orders'!$N:$N,"Einzelplan 14")/1000000000)</f>
        <v>0</v>
      </c>
      <c r="D31" s="61">
        <f>(SUMIFS('MAIN DATA, Orders'!$M:$M,'MAIN DATA, Orders'!$Q:$Q,$A31,'MAIN DATA, Orders'!$C:$C,"Germany",'MAIN DATA, Orders'!$N:$N,"Sondervermögen")/1000000000)</f>
        <v>0</v>
      </c>
      <c r="E31" s="61">
        <f>(SUMIFS('MAIN DATA, Orders'!$M:$M,'MAIN DATA, Orders'!$Q:$Q,$A31,'MAIN DATA, Orders'!$C:$C,"Germany",'MAIN DATA, Orders'!$N:$N,"Einzelplan 60")/1000000000)</f>
        <v>0</v>
      </c>
    </row>
    <row r="32" spans="1:5">
      <c r="A32" s="72">
        <v>26</v>
      </c>
      <c r="B32" s="68">
        <v>44593</v>
      </c>
      <c r="C32" s="61">
        <f>(SUMIFS('MAIN DATA, Orders'!$M:$M,'MAIN DATA, Orders'!$Q:$Q,$A32,'MAIN DATA, Orders'!$C:$C,"Germany",'MAIN DATA, Orders'!$N:$N,"Einzelplan 14")/1000000000)</f>
        <v>0</v>
      </c>
      <c r="D32" s="61">
        <f>(SUMIFS('MAIN DATA, Orders'!$M:$M,'MAIN DATA, Orders'!$Q:$Q,$A32,'MAIN DATA, Orders'!$C:$C,"Germany",'MAIN DATA, Orders'!$N:$N,"Sondervermögen")/1000000000)</f>
        <v>0</v>
      </c>
      <c r="E32" s="61">
        <f>(SUMIFS('MAIN DATA, Orders'!$M:$M,'MAIN DATA, Orders'!$Q:$Q,$A32,'MAIN DATA, Orders'!$C:$C,"Germany",'MAIN DATA, Orders'!$N:$N,"Einzelplan 60")/1000000000)</f>
        <v>0</v>
      </c>
    </row>
    <row r="33" spans="1:5">
      <c r="A33" s="72">
        <v>27</v>
      </c>
      <c r="B33" s="68">
        <v>44621</v>
      </c>
      <c r="C33" s="61">
        <f>(SUMIFS('MAIN DATA, Orders'!$M:$M,'MAIN DATA, Orders'!$Q:$Q,$A33,'MAIN DATA, Orders'!$C:$C,"Germany",'MAIN DATA, Orders'!$N:$N,"Einzelplan 14")/1000000000)</f>
        <v>0</v>
      </c>
      <c r="D33" s="61">
        <f>(SUMIFS('MAIN DATA, Orders'!$M:$M,'MAIN DATA, Orders'!$Q:$Q,$A33,'MAIN DATA, Orders'!$C:$C,"Germany",'MAIN DATA, Orders'!$N:$N,"Sondervermögen")/1000000000)</f>
        <v>0</v>
      </c>
      <c r="E33" s="61">
        <f>(SUMIFS('MAIN DATA, Orders'!$M:$M,'MAIN DATA, Orders'!$Q:$Q,$A33,'MAIN DATA, Orders'!$C:$C,"Germany",'MAIN DATA, Orders'!$N:$N,"Einzelplan 60")/1000000000)</f>
        <v>0</v>
      </c>
    </row>
    <row r="34" spans="1:5">
      <c r="A34" s="72">
        <v>28</v>
      </c>
      <c r="B34" s="68">
        <v>44652</v>
      </c>
      <c r="C34" s="61">
        <f>(SUMIFS('MAIN DATA, Orders'!$M:$M,'MAIN DATA, Orders'!$Q:$Q,$A34,'MAIN DATA, Orders'!$C:$C,"Germany",'MAIN DATA, Orders'!$N:$N,"Einzelplan 14")/1000000000)</f>
        <v>0.15</v>
      </c>
      <c r="D34" s="61">
        <f>(SUMIFS('MAIN DATA, Orders'!$M:$M,'MAIN DATA, Orders'!$Q:$Q,$A34,'MAIN DATA, Orders'!$C:$C,"Germany",'MAIN DATA, Orders'!$N:$N,"Sondervermögen")/1000000000)</f>
        <v>0</v>
      </c>
      <c r="E34" s="61">
        <f>(SUMIFS('MAIN DATA, Orders'!$M:$M,'MAIN DATA, Orders'!$Q:$Q,$A34,'MAIN DATA, Orders'!$C:$C,"Germany",'MAIN DATA, Orders'!$N:$N,"Einzelplan 60")/1000000000)</f>
        <v>0</v>
      </c>
    </row>
    <row r="35" spans="1:5">
      <c r="A35" s="72">
        <v>29</v>
      </c>
      <c r="B35" s="68">
        <v>44682</v>
      </c>
      <c r="C35" s="61">
        <f>(SUMIFS('MAIN DATA, Orders'!$M:$M,'MAIN DATA, Orders'!$Q:$Q,$A35,'MAIN DATA, Orders'!$C:$C,"Germany",'MAIN DATA, Orders'!$N:$N,"Einzelplan 14")/1000000000)</f>
        <v>2.5139</v>
      </c>
      <c r="D35" s="61">
        <f>(SUMIFS('MAIN DATA, Orders'!$M:$M,'MAIN DATA, Orders'!$Q:$Q,$A35,'MAIN DATA, Orders'!$C:$C,"Germany",'MAIN DATA, Orders'!$N:$N,"Sondervermögen")/1000000000)</f>
        <v>0</v>
      </c>
      <c r="E35" s="61">
        <f>(SUMIFS('MAIN DATA, Orders'!$M:$M,'MAIN DATA, Orders'!$Q:$Q,$A35,'MAIN DATA, Orders'!$C:$C,"Germany",'MAIN DATA, Orders'!$N:$N,"Einzelplan 60")/1000000000)</f>
        <v>0</v>
      </c>
    </row>
    <row r="36" spans="1:5">
      <c r="A36" s="72">
        <v>30</v>
      </c>
      <c r="B36" s="68">
        <v>44713</v>
      </c>
      <c r="C36" s="61">
        <f>(SUMIFS('MAIN DATA, Orders'!$M:$M,'MAIN DATA, Orders'!$Q:$Q,$A36,'MAIN DATA, Orders'!$C:$C,"Germany",'MAIN DATA, Orders'!$N:$N,"Einzelplan 14")/1000000000)</f>
        <v>0.10100000000000001</v>
      </c>
      <c r="D36" s="61">
        <f>(SUMIFS('MAIN DATA, Orders'!$M:$M,'MAIN DATA, Orders'!$Q:$Q,$A36,'MAIN DATA, Orders'!$C:$C,"Germany",'MAIN DATA, Orders'!$N:$N,"Sondervermögen")/1000000000)</f>
        <v>3.5000000000000003E-2</v>
      </c>
      <c r="E36" s="61">
        <f>(SUMIFS('MAIN DATA, Orders'!$M:$M,'MAIN DATA, Orders'!$Q:$Q,$A36,'MAIN DATA, Orders'!$C:$C,"Germany",'MAIN DATA, Orders'!$N:$N,"Einzelplan 60")/1000000000)</f>
        <v>0</v>
      </c>
    </row>
    <row r="37" spans="1:5">
      <c r="A37" s="72">
        <v>31</v>
      </c>
      <c r="B37" s="68">
        <v>44743</v>
      </c>
      <c r="C37" s="61">
        <f>(SUMIFS('MAIN DATA, Orders'!$M:$M,'MAIN DATA, Orders'!$Q:$Q,$A37,'MAIN DATA, Orders'!$C:$C,"Germany",'MAIN DATA, Orders'!$N:$N,"Einzelplan 14")/1000000000)</f>
        <v>7.5159000000000002</v>
      </c>
      <c r="D37" s="61">
        <f>(SUMIFS('MAIN DATA, Orders'!$M:$M,'MAIN DATA, Orders'!$Q:$Q,$A37,'MAIN DATA, Orders'!$C:$C,"Germany",'MAIN DATA, Orders'!$N:$N,"Sondervermögen")/1000000000)</f>
        <v>0</v>
      </c>
      <c r="E37" s="61">
        <f>(SUMIFS('MAIN DATA, Orders'!$M:$M,'MAIN DATA, Orders'!$Q:$Q,$A37,'MAIN DATA, Orders'!$C:$C,"Germany",'MAIN DATA, Orders'!$N:$N,"Einzelplan 60")/1000000000)</f>
        <v>0</v>
      </c>
    </row>
    <row r="38" spans="1:5">
      <c r="A38" s="72">
        <v>32</v>
      </c>
      <c r="B38" s="68">
        <v>44774</v>
      </c>
      <c r="C38" s="61">
        <f>(SUMIFS('MAIN DATA, Orders'!$M:$M,'MAIN DATA, Orders'!$Q:$Q,$A38,'MAIN DATA, Orders'!$C:$C,"Germany",'MAIN DATA, Orders'!$N:$N,"Einzelplan 14")/1000000000)</f>
        <v>0</v>
      </c>
      <c r="D38" s="61">
        <f>(SUMIFS('MAIN DATA, Orders'!$M:$M,'MAIN DATA, Orders'!$Q:$Q,$A38,'MAIN DATA, Orders'!$C:$C,"Germany",'MAIN DATA, Orders'!$N:$N,"Sondervermögen")/1000000000)</f>
        <v>0</v>
      </c>
      <c r="E38" s="61">
        <f>(SUMIFS('MAIN DATA, Orders'!$M:$M,'MAIN DATA, Orders'!$Q:$Q,$A38,'MAIN DATA, Orders'!$C:$C,"Germany",'MAIN DATA, Orders'!$N:$N,"Einzelplan 60")/1000000000)</f>
        <v>0</v>
      </c>
    </row>
    <row r="39" spans="1:5">
      <c r="A39" s="72">
        <v>33</v>
      </c>
      <c r="B39" s="68">
        <v>44805</v>
      </c>
      <c r="C39" s="61">
        <f>(SUMIFS('MAIN DATA, Orders'!$M:$M,'MAIN DATA, Orders'!$Q:$Q,$A39,'MAIN DATA, Orders'!$C:$C,"Germany",'MAIN DATA, Orders'!$N:$N,"Einzelplan 14")/1000000000)</f>
        <v>0.63700000000000001</v>
      </c>
      <c r="D39" s="61">
        <f>(SUMIFS('MAIN DATA, Orders'!$M:$M,'MAIN DATA, Orders'!$Q:$Q,$A39,'MAIN DATA, Orders'!$C:$C,"Germany",'MAIN DATA, Orders'!$N:$N,"Sondervermögen")/1000000000)</f>
        <v>0</v>
      </c>
      <c r="E39" s="61">
        <f>(SUMIFS('MAIN DATA, Orders'!$M:$M,'MAIN DATA, Orders'!$Q:$Q,$A39,'MAIN DATA, Orders'!$C:$C,"Germany",'MAIN DATA, Orders'!$N:$N,"Einzelplan 60")/1000000000)</f>
        <v>0</v>
      </c>
    </row>
    <row r="40" spans="1:5">
      <c r="A40" s="72">
        <v>34</v>
      </c>
      <c r="B40" s="68">
        <v>44835</v>
      </c>
      <c r="C40" s="61">
        <f>(SUMIFS('MAIN DATA, Orders'!$M:$M,'MAIN DATA, Orders'!$Q:$Q,$A40,'MAIN DATA, Orders'!$C:$C,"Germany",'MAIN DATA, Orders'!$N:$N,"Einzelplan 14")/1000000000)</f>
        <v>0.10489999999999999</v>
      </c>
      <c r="D40" s="61">
        <f>(SUMIFS('MAIN DATA, Orders'!$M:$M,'MAIN DATA, Orders'!$Q:$Q,$A40,'MAIN DATA, Orders'!$C:$C,"Germany",'MAIN DATA, Orders'!$N:$N,"Sondervermögen")/1000000000)</f>
        <v>0</v>
      </c>
      <c r="E40" s="61">
        <f>(SUMIFS('MAIN DATA, Orders'!$M:$M,'MAIN DATA, Orders'!$Q:$Q,$A40,'MAIN DATA, Orders'!$C:$C,"Germany",'MAIN DATA, Orders'!$N:$N,"Einzelplan 60")/1000000000)</f>
        <v>0</v>
      </c>
    </row>
    <row r="41" spans="1:5">
      <c r="A41" s="72">
        <v>35</v>
      </c>
      <c r="B41" s="68">
        <v>44866</v>
      </c>
      <c r="C41" s="61">
        <f>(SUMIFS('MAIN DATA, Orders'!$M:$M,'MAIN DATA, Orders'!$Q:$Q,$A41,'MAIN DATA, Orders'!$C:$C,"Germany",'MAIN DATA, Orders'!$N:$N,"Einzelplan 14")/1000000000)</f>
        <v>0.15545</v>
      </c>
      <c r="D41" s="61">
        <f>(SUMIFS('MAIN DATA, Orders'!$M:$M,'MAIN DATA, Orders'!$Q:$Q,$A41,'MAIN DATA, Orders'!$C:$C,"Germany",'MAIN DATA, Orders'!$N:$N,"Sondervermögen")/1000000000)</f>
        <v>0</v>
      </c>
      <c r="E41" s="61">
        <f>(SUMIFS('MAIN DATA, Orders'!$M:$M,'MAIN DATA, Orders'!$Q:$Q,$A41,'MAIN DATA, Orders'!$C:$C,"Germany",'MAIN DATA, Orders'!$N:$N,"Einzelplan 60")/1000000000)</f>
        <v>0</v>
      </c>
    </row>
    <row r="42" spans="1:5">
      <c r="A42" s="72">
        <v>36</v>
      </c>
      <c r="B42" s="68">
        <v>44896</v>
      </c>
      <c r="C42" s="61">
        <f>(SUMIFS('MAIN DATA, Orders'!$M:$M,'MAIN DATA, Orders'!$Q:$Q,$A42,'MAIN DATA, Orders'!$C:$C,"Germany",'MAIN DATA, Orders'!$N:$N,"Einzelplan 14")/1000000000)</f>
        <v>0.27800000000000002</v>
      </c>
      <c r="D42" s="61">
        <f>(SUMIFS('MAIN DATA, Orders'!$M:$M,'MAIN DATA, Orders'!$Q:$Q,$A42,'MAIN DATA, Orders'!$C:$C,"Germany",'MAIN DATA, Orders'!$N:$N,"Sondervermögen")/1000000000)</f>
        <v>9.6059999999999999</v>
      </c>
      <c r="E42" s="61">
        <f>(SUMIFS('MAIN DATA, Orders'!$M:$M,'MAIN DATA, Orders'!$Q:$Q,$A42,'MAIN DATA, Orders'!$C:$C,"Germany",'MAIN DATA, Orders'!$N:$N,"Einzelplan 60")/1000000000)</f>
        <v>0</v>
      </c>
    </row>
    <row r="43" spans="1:5">
      <c r="A43" s="72">
        <v>37</v>
      </c>
      <c r="B43" s="68">
        <v>44927</v>
      </c>
      <c r="C43" s="61">
        <f>(SUMIFS('MAIN DATA, Orders'!$M:$M,'MAIN DATA, Orders'!$Q:$Q,$A43,'MAIN DATA, Orders'!$C:$C,"Germany",'MAIN DATA, Orders'!$N:$N,"Einzelplan 14")/1000000000)</f>
        <v>0</v>
      </c>
      <c r="D43" s="61">
        <f>(SUMIFS('MAIN DATA, Orders'!$M:$M,'MAIN DATA, Orders'!$Q:$Q,$A43,'MAIN DATA, Orders'!$C:$C,"Germany",'MAIN DATA, Orders'!$N:$N,"Sondervermögen")/1000000000)</f>
        <v>0</v>
      </c>
      <c r="E43" s="61">
        <f>(SUMIFS('MAIN DATA, Orders'!$M:$M,'MAIN DATA, Orders'!$Q:$Q,$A43,'MAIN DATA, Orders'!$C:$C,"Germany",'MAIN DATA, Orders'!$N:$N,"Einzelplan 60")/1000000000)</f>
        <v>0</v>
      </c>
    </row>
    <row r="44" spans="1:5">
      <c r="A44" s="72">
        <v>38</v>
      </c>
      <c r="B44" s="68">
        <v>44958</v>
      </c>
      <c r="C44" s="61">
        <f>(SUMIFS('MAIN DATA, Orders'!$M:$M,'MAIN DATA, Orders'!$Q:$Q,$A44,'MAIN DATA, Orders'!$C:$C,"Germany",'MAIN DATA, Orders'!$N:$N,"Einzelplan 14")/1000000000)</f>
        <v>5.28E-2</v>
      </c>
      <c r="D44" s="61">
        <f>(SUMIFS('MAIN DATA, Orders'!$M:$M,'MAIN DATA, Orders'!$Q:$Q,$A44,'MAIN DATA, Orders'!$C:$C,"Germany",'MAIN DATA, Orders'!$N:$N,"Sondervermögen")/1000000000)</f>
        <v>0</v>
      </c>
      <c r="E44" s="61">
        <f>(SUMIFS('MAIN DATA, Orders'!$M:$M,'MAIN DATA, Orders'!$Q:$Q,$A44,'MAIN DATA, Orders'!$C:$C,"Germany",'MAIN DATA, Orders'!$N:$N,"Einzelplan 60")/1000000000)</f>
        <v>0.16800000000000001</v>
      </c>
    </row>
    <row r="45" spans="1:5">
      <c r="A45" s="72">
        <v>39</v>
      </c>
      <c r="B45" s="68">
        <v>44986</v>
      </c>
      <c r="C45" s="61">
        <f>(SUMIFS('MAIN DATA, Orders'!$M:$M,'MAIN DATA, Orders'!$Q:$Q,$A45,'MAIN DATA, Orders'!$C:$C,"Germany",'MAIN DATA, Orders'!$N:$N,"Einzelplan 14")/1000000000)</f>
        <v>0.2382</v>
      </c>
      <c r="D45" s="61">
        <f>(SUMIFS('MAIN DATA, Orders'!$M:$M,'MAIN DATA, Orders'!$Q:$Q,$A45,'MAIN DATA, Orders'!$C:$C,"Germany",'MAIN DATA, Orders'!$N:$N,"Sondervermögen")/1000000000)</f>
        <v>0.95220000000000005</v>
      </c>
      <c r="E45" s="61">
        <f>(SUMIFS('MAIN DATA, Orders'!$M:$M,'MAIN DATA, Orders'!$Q:$Q,$A45,'MAIN DATA, Orders'!$C:$C,"Germany",'MAIN DATA, Orders'!$N:$N,"Einzelplan 60")/1000000000)</f>
        <v>0.184</v>
      </c>
    </row>
    <row r="46" spans="1:5">
      <c r="A46" s="72">
        <v>40</v>
      </c>
      <c r="B46" s="68">
        <v>45017</v>
      </c>
      <c r="C46" s="61">
        <f>(SUMIFS('MAIN DATA, Orders'!$M:$M,'MAIN DATA, Orders'!$Q:$Q,$A46,'MAIN DATA, Orders'!$C:$C,"Germany",'MAIN DATA, Orders'!$N:$N,"Einzelplan 14")/1000000000)</f>
        <v>0.76700000000000002</v>
      </c>
      <c r="D46" s="61">
        <f>(SUMIFS('MAIN DATA, Orders'!$M:$M,'MAIN DATA, Orders'!$Q:$Q,$A46,'MAIN DATA, Orders'!$C:$C,"Germany",'MAIN DATA, Orders'!$N:$N,"Sondervermögen")/1000000000)</f>
        <v>0</v>
      </c>
      <c r="E46" s="61">
        <f>(SUMIFS('MAIN DATA, Orders'!$M:$M,'MAIN DATA, Orders'!$Q:$Q,$A46,'MAIN DATA, Orders'!$C:$C,"Germany",'MAIN DATA, Orders'!$N:$N,"Einzelplan 60")/1000000000)</f>
        <v>0</v>
      </c>
    </row>
    <row r="47" spans="1:5">
      <c r="A47" s="72">
        <v>41</v>
      </c>
      <c r="B47" s="68">
        <v>45047</v>
      </c>
      <c r="C47" s="61">
        <f>(SUMIFS('MAIN DATA, Orders'!$M:$M,'MAIN DATA, Orders'!$Q:$Q,$A47,'MAIN DATA, Orders'!$C:$C,"Germany",'MAIN DATA, Orders'!$N:$N,"Einzelplan 14")/1000000000)</f>
        <v>3.2000000000000001E-2</v>
      </c>
      <c r="D47" s="61">
        <f>(SUMIFS('MAIN DATA, Orders'!$M:$M,'MAIN DATA, Orders'!$Q:$Q,$A47,'MAIN DATA, Orders'!$C:$C,"Germany",'MAIN DATA, Orders'!$N:$N,"Sondervermögen")/1000000000)</f>
        <v>1.2669999999999999</v>
      </c>
      <c r="E47" s="61">
        <f>(SUMIFS('MAIN DATA, Orders'!$M:$M,'MAIN DATA, Orders'!$Q:$Q,$A47,'MAIN DATA, Orders'!$C:$C,"Germany",'MAIN DATA, Orders'!$N:$N,"Einzelplan 60")/1000000000)</f>
        <v>0.71630000000000005</v>
      </c>
    </row>
    <row r="48" spans="1:5">
      <c r="A48" s="72">
        <v>42</v>
      </c>
      <c r="B48" s="68">
        <v>45078</v>
      </c>
      <c r="C48" s="61">
        <f>(SUMIFS('MAIN DATA, Orders'!$M:$M,'MAIN DATA, Orders'!$Q:$Q,$A48,'MAIN DATA, Orders'!$C:$C,"Germany",'MAIN DATA, Orders'!$N:$N,"Einzelplan 14")/1000000000)</f>
        <v>0.9032</v>
      </c>
      <c r="D48" s="61">
        <f>(SUMIFS('MAIN DATA, Orders'!$M:$M,'MAIN DATA, Orders'!$Q:$Q,$A48,'MAIN DATA, Orders'!$C:$C,"Germany",'MAIN DATA, Orders'!$N:$N,"Sondervermögen")/1000000000)</f>
        <v>0.95</v>
      </c>
      <c r="E48" s="61">
        <f>(SUMIFS('MAIN DATA, Orders'!$M:$M,'MAIN DATA, Orders'!$Q:$Q,$A48,'MAIN DATA, Orders'!$C:$C,"Germany",'MAIN DATA, Orders'!$N:$N,"Einzelplan 60")/1000000000)</f>
        <v>0</v>
      </c>
    </row>
    <row r="49" spans="1:5">
      <c r="A49" s="72">
        <v>43</v>
      </c>
      <c r="B49" s="68">
        <v>45108</v>
      </c>
      <c r="C49" s="61">
        <f>(SUMIFS('MAIN DATA, Orders'!$M:$M,'MAIN DATA, Orders'!$Q:$Q,$A49,'MAIN DATA, Orders'!$C:$C,"Germany",'MAIN DATA, Orders'!$N:$N,"Einzelplan 14")/1000000000)</f>
        <v>1.3858999999999999</v>
      </c>
      <c r="D49" s="61">
        <f>(SUMIFS('MAIN DATA, Orders'!$M:$M,'MAIN DATA, Orders'!$Q:$Q,$A49,'MAIN DATA, Orders'!$C:$C,"Germany",'MAIN DATA, Orders'!$N:$N,"Sondervermögen")/1000000000)</f>
        <v>7.85</v>
      </c>
      <c r="E49" s="61">
        <f>(SUMIFS('MAIN DATA, Orders'!$M:$M,'MAIN DATA, Orders'!$Q:$Q,$A49,'MAIN DATA, Orders'!$C:$C,"Germany",'MAIN DATA, Orders'!$N:$N,"Einzelplan 60")/1000000000)</f>
        <v>0.50900000000000001</v>
      </c>
    </row>
    <row r="50" spans="1:5">
      <c r="A50" s="72">
        <v>44</v>
      </c>
      <c r="B50" s="68">
        <v>45139</v>
      </c>
      <c r="C50" s="61">
        <f>(SUMIFS('MAIN DATA, Orders'!$M:$M,'MAIN DATA, Orders'!$Q:$Q,$A50,'MAIN DATA, Orders'!$C:$C,"Germany",'MAIN DATA, Orders'!$N:$N,"Einzelplan 14")/1000000000)</f>
        <v>0</v>
      </c>
      <c r="D50" s="61">
        <f>(SUMIFS('MAIN DATA, Orders'!$M:$M,'MAIN DATA, Orders'!$Q:$Q,$A50,'MAIN DATA, Orders'!$C:$C,"Germany",'MAIN DATA, Orders'!$N:$N,"Sondervermögen")/1000000000)</f>
        <v>0</v>
      </c>
      <c r="E50" s="61">
        <f>(SUMIFS('MAIN DATA, Orders'!$M:$M,'MAIN DATA, Orders'!$Q:$Q,$A50,'MAIN DATA, Orders'!$C:$C,"Germany",'MAIN DATA, Orders'!$N:$N,"Einzelplan 60")/1000000000)</f>
        <v>0</v>
      </c>
    </row>
    <row r="51" spans="1:5">
      <c r="A51" s="72">
        <v>45</v>
      </c>
      <c r="B51" s="68">
        <v>45170</v>
      </c>
      <c r="C51" s="61">
        <f>(SUMIFS('MAIN DATA, Orders'!$M:$M,'MAIN DATA, Orders'!$Q:$Q,$A51,'MAIN DATA, Orders'!$C:$C,"Germany",'MAIN DATA, Orders'!$N:$N,"Einzelplan 14")/1000000000)</f>
        <v>0.43630000000000002</v>
      </c>
      <c r="D51" s="61">
        <f>(SUMIFS('MAIN DATA, Orders'!$M:$M,'MAIN DATA, Orders'!$Q:$Q,$A51,'MAIN DATA, Orders'!$C:$C,"Germany",'MAIN DATA, Orders'!$N:$N,"Sondervermögen")/1000000000)</f>
        <v>0</v>
      </c>
      <c r="E51" s="61">
        <f>(SUMIFS('MAIN DATA, Orders'!$M:$M,'MAIN DATA, Orders'!$Q:$Q,$A51,'MAIN DATA, Orders'!$C:$C,"Germany",'MAIN DATA, Orders'!$N:$N,"Einzelplan 60")/1000000000)</f>
        <v>0</v>
      </c>
    </row>
    <row r="52" spans="1:5">
      <c r="A52" s="72">
        <v>46</v>
      </c>
      <c r="B52" s="68">
        <v>45200</v>
      </c>
      <c r="C52" s="61">
        <f>(SUMIFS('MAIN DATA, Orders'!$M:$M,'MAIN DATA, Orders'!$Q:$Q,$A52,'MAIN DATA, Orders'!$C:$C,"Germany",'MAIN DATA, Orders'!$N:$N,"Einzelplan 14")/1000000000)</f>
        <v>5.2499999999999998E-2</v>
      </c>
      <c r="D52" s="61">
        <f>(SUMIFS('MAIN DATA, Orders'!$M:$M,'MAIN DATA, Orders'!$Q:$Q,$A52,'MAIN DATA, Orders'!$C:$C,"Germany",'MAIN DATA, Orders'!$N:$N,"Sondervermögen")/1000000000)</f>
        <v>4.2919999999999998</v>
      </c>
      <c r="E52" s="61">
        <f>(SUMIFS('MAIN DATA, Orders'!$M:$M,'MAIN DATA, Orders'!$Q:$Q,$A52,'MAIN DATA, Orders'!$C:$C,"Germany",'MAIN DATA, Orders'!$N:$N,"Einzelplan 60")/1000000000)</f>
        <v>6.8000000000000005E-2</v>
      </c>
    </row>
    <row r="53" spans="1:5">
      <c r="A53" s="72">
        <v>47</v>
      </c>
      <c r="B53" s="68">
        <v>45231</v>
      </c>
      <c r="C53" s="61">
        <f>(SUMIFS('MAIN DATA, Orders'!$M:$M,'MAIN DATA, Orders'!$Q:$Q,$A53,'MAIN DATA, Orders'!$C:$C,"Germany",'MAIN DATA, Orders'!$N:$N,"Einzelplan 14")/1000000000)</f>
        <v>13.5083</v>
      </c>
      <c r="D53" s="61">
        <f>(SUMIFS('MAIN DATA, Orders'!$M:$M,'MAIN DATA, Orders'!$Q:$Q,$A53,'MAIN DATA, Orders'!$C:$C,"Germany",'MAIN DATA, Orders'!$N:$N,"Sondervermögen")/1000000000)</f>
        <v>1.292</v>
      </c>
      <c r="E53" s="61">
        <f>(SUMIFS('MAIN DATA, Orders'!$M:$M,'MAIN DATA, Orders'!$Q:$Q,$A53,'MAIN DATA, Orders'!$C:$C,"Germany",'MAIN DATA, Orders'!$N:$N,"Einzelplan 60")/1000000000)</f>
        <v>0.15</v>
      </c>
    </row>
    <row r="54" spans="1:5">
      <c r="A54" s="72">
        <v>48</v>
      </c>
      <c r="B54" s="68">
        <v>45261</v>
      </c>
      <c r="C54" s="61">
        <f>(SUMIFS('MAIN DATA, Orders'!$M:$M,'MAIN DATA, Orders'!$Q:$Q,$A54,'MAIN DATA, Orders'!$C:$C,"Germany",'MAIN DATA, Orders'!$N:$N,"Einzelplan 14")/1000000000)</f>
        <v>6.9680000000000006E-2</v>
      </c>
      <c r="D54" s="61">
        <f>(SUMIFS('MAIN DATA, Orders'!$M:$M,'MAIN DATA, Orders'!$Q:$Q,$A54,'MAIN DATA, Orders'!$C:$C,"Germany",'MAIN DATA, Orders'!$N:$N,"Sondervermögen")/1000000000)</f>
        <v>5.1938000000000004</v>
      </c>
      <c r="E54" s="61">
        <f>(SUMIFS('MAIN DATA, Orders'!$M:$M,'MAIN DATA, Orders'!$Q:$Q,$A54,'MAIN DATA, Orders'!$C:$C,"Germany",'MAIN DATA, Orders'!$N:$N,"Einzelplan 60")/1000000000)</f>
        <v>0.98799999999999999</v>
      </c>
    </row>
    <row r="55" spans="1:5">
      <c r="A55" s="72">
        <v>49</v>
      </c>
      <c r="B55" s="68">
        <v>45292</v>
      </c>
      <c r="C55" s="61">
        <f>(SUMIFS('MAIN DATA, Orders'!$M:$M,'MAIN DATA, Orders'!$Q:$Q,$A55,'MAIN DATA, Orders'!$C:$C,"Germany",'MAIN DATA, Orders'!$N:$N,"Einzelplan 14")/1000000000)</f>
        <v>0</v>
      </c>
      <c r="D55" s="61">
        <f>(SUMIFS('MAIN DATA, Orders'!$M:$M,'MAIN DATA, Orders'!$Q:$Q,$A55,'MAIN DATA, Orders'!$C:$C,"Germany",'MAIN DATA, Orders'!$N:$N,"Sondervermögen")/1000000000)</f>
        <v>1.23</v>
      </c>
      <c r="E55" s="61">
        <f>(SUMIFS('MAIN DATA, Orders'!$M:$M,'MAIN DATA, Orders'!$Q:$Q,$A55,'MAIN DATA, Orders'!$C:$C,"Germany",'MAIN DATA, Orders'!$N:$N,"Einzelplan 60")/1000000000)</f>
        <v>0</v>
      </c>
    </row>
    <row r="56" spans="1:5">
      <c r="A56" s="72">
        <v>50</v>
      </c>
      <c r="B56" s="68">
        <v>45323</v>
      </c>
      <c r="C56" s="61">
        <f>(SUMIFS('MAIN DATA, Orders'!$M:$M,'MAIN DATA, Orders'!$Q:$Q,$A56,'MAIN DATA, Orders'!$C:$C,"Germany",'MAIN DATA, Orders'!$N:$N,"Einzelplan 14")/1000000000)</f>
        <v>2.2000000000000002</v>
      </c>
      <c r="D56" s="61">
        <f>(SUMIFS('MAIN DATA, Orders'!$M:$M,'MAIN DATA, Orders'!$Q:$Q,$A56,'MAIN DATA, Orders'!$C:$C,"Germany",'MAIN DATA, Orders'!$N:$N,"Sondervermögen")/1000000000)</f>
        <v>0.64900000000000002</v>
      </c>
      <c r="E56" s="61">
        <f>(SUMIFS('MAIN DATA, Orders'!$M:$M,'MAIN DATA, Orders'!$Q:$Q,$A56,'MAIN DATA, Orders'!$C:$C,"Germany",'MAIN DATA, Orders'!$N:$N,"Einzelplan 60")/1000000000)</f>
        <v>0</v>
      </c>
    </row>
    <row r="57" spans="1:5">
      <c r="A57" s="72">
        <v>51</v>
      </c>
      <c r="B57" s="68">
        <v>45352</v>
      </c>
      <c r="C57" s="61">
        <f>(SUMIFS('MAIN DATA, Orders'!$M:$M,'MAIN DATA, Orders'!$Q:$Q,$A57,'MAIN DATA, Orders'!$C:$C,"Germany",'MAIN DATA, Orders'!$N:$N,"Einzelplan 14")/1000000000)</f>
        <v>8.1000000000000003E-2</v>
      </c>
      <c r="D57" s="61">
        <f>(SUMIFS('MAIN DATA, Orders'!$M:$M,'MAIN DATA, Orders'!$Q:$Q,$A57,'MAIN DATA, Orders'!$C:$C,"Germany",'MAIN DATA, Orders'!$N:$N,"Sondervermögen")/1000000000)</f>
        <v>3.6509</v>
      </c>
      <c r="E57" s="61">
        <f>(SUMIFS('MAIN DATA, Orders'!$M:$M,'MAIN DATA, Orders'!$Q:$Q,$A57,'MAIN DATA, Orders'!$C:$C,"Germany",'MAIN DATA, Orders'!$N:$N,"Einzelplan 60")/1000000000)</f>
        <v>0.7</v>
      </c>
    </row>
    <row r="58" spans="1:5">
      <c r="A58" s="72">
        <v>52</v>
      </c>
      <c r="B58" s="68">
        <v>45383</v>
      </c>
      <c r="C58" s="61">
        <f>(SUMIFS('MAIN DATA, Orders'!$M:$M,'MAIN DATA, Orders'!$Q:$Q,$A58,'MAIN DATA, Orders'!$C:$C,"Germany",'MAIN DATA, Orders'!$N:$N,"Einzelplan 14")/1000000000)</f>
        <v>0</v>
      </c>
      <c r="D58" s="61">
        <f>(SUMIFS('MAIN DATA, Orders'!$M:$M,'MAIN DATA, Orders'!$Q:$Q,$A58,'MAIN DATA, Orders'!$C:$C,"Germany",'MAIN DATA, Orders'!$N:$N,"Sondervermögen")/1000000000)</f>
        <v>0.58699999999999997</v>
      </c>
      <c r="E58" s="61">
        <f>(SUMIFS('MAIN DATA, Orders'!$M:$M,'MAIN DATA, Orders'!$Q:$Q,$A58,'MAIN DATA, Orders'!$C:$C,"Germany",'MAIN DATA, Orders'!$N:$N,"Einzelplan 60")/1000000000)</f>
        <v>0</v>
      </c>
    </row>
    <row r="59" spans="1:5">
      <c r="A59" s="72">
        <v>53</v>
      </c>
      <c r="B59" s="68">
        <v>45413</v>
      </c>
      <c r="C59" s="61">
        <f>(SUMIFS('MAIN DATA, Orders'!$M:$M,'MAIN DATA, Orders'!$Q:$Q,$A59,'MAIN DATA, Orders'!$C:$C,"Germany",'MAIN DATA, Orders'!$N:$N,"Einzelplan 14")/1000000000)</f>
        <v>1.7027600000000001</v>
      </c>
      <c r="D59" s="61">
        <f>(SUMIFS('MAIN DATA, Orders'!$M:$M,'MAIN DATA, Orders'!$Q:$Q,$A59,'MAIN DATA, Orders'!$C:$C,"Germany",'MAIN DATA, Orders'!$N:$N,"Sondervermögen")/1000000000)</f>
        <v>0.1462</v>
      </c>
      <c r="E59" s="61">
        <f>(SUMIFS('MAIN DATA, Orders'!$M:$M,'MAIN DATA, Orders'!$Q:$Q,$A59,'MAIN DATA, Orders'!$C:$C,"Germany",'MAIN DATA, Orders'!$N:$N,"Einzelplan 60")/1000000000)</f>
        <v>0</v>
      </c>
    </row>
    <row r="60" spans="1:5">
      <c r="A60" s="72">
        <v>54</v>
      </c>
      <c r="B60" s="68">
        <v>45444</v>
      </c>
      <c r="C60" s="61">
        <f>(SUMIFS('MAIN DATA, Orders'!$M:$M,'MAIN DATA, Orders'!$Q:$Q,$A60,'MAIN DATA, Orders'!$C:$C,"Germany",'MAIN DATA, Orders'!$N:$N,"Einzelplan 14")/1000000000)</f>
        <v>3.2850000000000001</v>
      </c>
      <c r="D60" s="61">
        <f>(SUMIFS('MAIN DATA, Orders'!$M:$M,'MAIN DATA, Orders'!$Q:$Q,$A60,'MAIN DATA, Orders'!$C:$C,"Germany",'MAIN DATA, Orders'!$N:$N,"Sondervermögen")/1000000000)</f>
        <v>5.7969999999999997</v>
      </c>
      <c r="E60" s="61">
        <f>(SUMIFS('MAIN DATA, Orders'!$M:$M,'MAIN DATA, Orders'!$Q:$Q,$A60,'MAIN DATA, Orders'!$C:$C,"Germany",'MAIN DATA, Orders'!$N:$N,"Einzelplan 60")/1000000000)</f>
        <v>0.39500000000000002</v>
      </c>
    </row>
    <row r="61" spans="1:5">
      <c r="A61" s="72">
        <v>55</v>
      </c>
      <c r="B61" s="155">
        <v>45474</v>
      </c>
      <c r="C61" s="159">
        <f>(SUMIFS('MAIN DATA, Orders'!$M:$M,'MAIN DATA, Orders'!$Q:$Q,$A61,'MAIN DATA, Orders'!$C:$C,"Germany",'MAIN DATA, Orders'!$N:$N,"Einzelplan 14")/1000000000)</f>
        <v>1.05</v>
      </c>
      <c r="D61" s="159">
        <f>(SUMIFS('MAIN DATA, Orders'!$M:$M,'MAIN DATA, Orders'!$Q:$Q,$A61,'MAIN DATA, Orders'!$C:$C,"Germany",'MAIN DATA, Orders'!$N:$N,"Sondervermögen")/1000000000)</f>
        <v>4.2670000000000003</v>
      </c>
      <c r="E61" s="159">
        <f>(SUMIFS('MAIN DATA, Orders'!$M:$M,'MAIN DATA, Orders'!$Q:$Q,$A61,'MAIN DATA, Orders'!$C:$C,"Germany",'MAIN DATA, Orders'!$N:$N,"Einzelplan 60")/1000000000)</f>
        <v>1.002</v>
      </c>
    </row>
    <row r="62" spans="1:5">
      <c r="A62" s="199"/>
      <c r="B62" s="199"/>
      <c r="C62" s="199"/>
      <c r="D62" s="199"/>
      <c r="E62" s="199"/>
    </row>
    <row r="63" spans="1:5">
      <c r="A63" s="199"/>
      <c r="B63" s="19" t="s">
        <v>1431</v>
      </c>
      <c r="C63" s="69">
        <f>SUM(C7:C61)</f>
        <v>84.51966800000001</v>
      </c>
      <c r="D63" s="69">
        <f t="shared" ref="D63:E63" si="0">SUM(D7:D61)</f>
        <v>47.765100000000004</v>
      </c>
      <c r="E63" s="69">
        <f t="shared" si="0"/>
        <v>4.8803000000000001</v>
      </c>
    </row>
  </sheetData>
  <mergeCells count="1">
    <mergeCell ref="B4:H4"/>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2B8A8-0172-4E63-9CF6-358AAA6BDAC6}">
  <sheetPr>
    <tabColor theme="8" tint="0.59999389629810485"/>
  </sheetPr>
  <dimension ref="B2:F9"/>
  <sheetViews>
    <sheetView workbookViewId="0"/>
  </sheetViews>
  <sheetFormatPr defaultColWidth="8.69921875" defaultRowHeight="15.6"/>
  <cols>
    <col min="1" max="1" width="8.69921875" style="1"/>
    <col min="2" max="2" width="8.69921875" style="1" customWidth="1"/>
    <col min="3" max="3" width="27.69921875" style="1" bestFit="1" customWidth="1"/>
    <col min="4" max="4" width="28.19921875" style="1" bestFit="1" customWidth="1"/>
    <col min="5" max="5" width="16.09765625" style="1" bestFit="1" customWidth="1"/>
    <col min="6" max="6" width="12.59765625" style="1" bestFit="1" customWidth="1"/>
    <col min="7" max="8" width="8.69921875" style="1"/>
    <col min="9" max="12" width="8.69921875" style="1" customWidth="1"/>
    <col min="13" max="16384" width="8.69921875" style="1"/>
  </cols>
  <sheetData>
    <row r="2" spans="2:6" ht="25.2">
      <c r="B2" s="67" t="s">
        <v>1627</v>
      </c>
    </row>
    <row r="4" spans="2:6" ht="130.19999999999999" customHeight="1">
      <c r="B4" s="206" t="s">
        <v>1628</v>
      </c>
      <c r="C4" s="206"/>
      <c r="D4" s="206"/>
      <c r="E4" s="206"/>
      <c r="F4" s="206"/>
    </row>
    <row r="6" spans="2:6" ht="21" customHeight="1">
      <c r="B6" s="35"/>
      <c r="C6" s="162" t="s">
        <v>1629</v>
      </c>
      <c r="D6" s="162" t="s">
        <v>1630</v>
      </c>
      <c r="E6" s="162" t="s">
        <v>665</v>
      </c>
      <c r="F6" s="162" t="s">
        <v>784</v>
      </c>
    </row>
    <row r="7" spans="2:6">
      <c r="B7" s="152" t="s">
        <v>1431</v>
      </c>
      <c r="C7" s="180">
        <f>(SUMIFS('MAIN DATA, Orders'!$M:$M,'MAIN DATA, Orders'!$Q:$Q,"&lt;=26",'MAIN DATA, Orders'!$C:$C,"Germany",'MAIN DATA, Orders'!$N:$N,"Einzelplan 14")/1000000000)</f>
        <v>47.298878000000002</v>
      </c>
      <c r="D7" s="180">
        <f>(SUMIFS('MAIN DATA, Orders'!$M:$M,'MAIN DATA, Orders'!$Q:$Q,"&gt;=27",'MAIN DATA, Orders'!$C:$C,"Germany",'MAIN DATA, Orders'!$N:$N,"Einzelplan 14")/1000000000)</f>
        <v>37.220790000000001</v>
      </c>
      <c r="E7" s="180">
        <f>(SUMIFS('MAIN DATA, Orders'!$M:$M,'MAIN DATA, Orders'!$C:$C,"Germany",'MAIN DATA, Orders'!$N:$N,"Sondervermögen")/1000000000)</f>
        <v>47.765099999999997</v>
      </c>
      <c r="F7" s="180">
        <f>(SUMIFS('MAIN DATA, Orders'!$M:$M,'MAIN DATA, Orders'!$C:$C,"Germany",'MAIN DATA, Orders'!$N:$N,"Einzelplan 60")/1000000000)</f>
        <v>4.8803000000000001</v>
      </c>
    </row>
    <row r="9" spans="2:6">
      <c r="C9" s="61"/>
    </row>
  </sheetData>
  <mergeCells count="1">
    <mergeCell ref="B4:F4"/>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E50C1B-6E4E-44CD-A512-1217848A310E}">
  <sheetPr>
    <tabColor theme="8" tint="0.59999389629810485"/>
  </sheetPr>
  <dimension ref="B2:O112"/>
  <sheetViews>
    <sheetView workbookViewId="0"/>
  </sheetViews>
  <sheetFormatPr defaultColWidth="8.69921875" defaultRowHeight="15.6"/>
  <cols>
    <col min="1" max="2" width="8.69921875" style="1"/>
    <col min="3" max="3" width="19.5" style="1" bestFit="1" customWidth="1"/>
    <col min="4" max="4" width="13.19921875" style="1" bestFit="1" customWidth="1"/>
    <col min="5" max="5" width="23.69921875" style="1" bestFit="1" customWidth="1"/>
    <col min="6" max="6" width="21.19921875" style="1" bestFit="1" customWidth="1"/>
    <col min="7" max="7" width="14.59765625" style="1" bestFit="1" customWidth="1"/>
    <col min="8" max="8" width="12.8984375" style="1" bestFit="1" customWidth="1"/>
    <col min="9" max="9" width="15.5" style="1" bestFit="1" customWidth="1"/>
    <col min="10" max="11" width="8.69921875" style="1"/>
    <col min="12" max="12" width="10.19921875" style="1" bestFit="1" customWidth="1"/>
    <col min="13" max="13" width="22.59765625" style="1" bestFit="1" customWidth="1"/>
    <col min="14" max="14" width="20.8984375" style="1" bestFit="1" customWidth="1"/>
    <col min="15" max="15" width="15.5" style="1" bestFit="1" customWidth="1"/>
    <col min="16" max="17" width="8.69921875" style="1"/>
    <col min="18" max="18" width="10" style="1" customWidth="1"/>
    <col min="19" max="23" width="8.69921875" style="1"/>
    <col min="24" max="24" width="9.09765625" style="1" bestFit="1" customWidth="1"/>
    <col min="25" max="27" width="8.69921875" style="1"/>
    <col min="28" max="28" width="9.5" style="1" customWidth="1"/>
    <col min="29" max="39" width="8.69921875" style="1"/>
    <col min="40" max="40" width="10.69921875" style="1" customWidth="1"/>
    <col min="41" max="46" width="8.69921875" style="1"/>
    <col min="47" max="47" width="9.09765625" style="1" bestFit="1" customWidth="1"/>
    <col min="48" max="51" width="8.69921875" style="1"/>
    <col min="52" max="52" width="9.5" style="1" customWidth="1"/>
    <col min="53" max="69" width="8.69921875" style="1"/>
    <col min="70" max="70" width="11" style="1" customWidth="1"/>
    <col min="71" max="76" width="8.69921875" style="1"/>
    <col min="77" max="77" width="9.69921875" style="1" customWidth="1"/>
    <col min="78" max="81" width="8.69921875" style="1"/>
    <col min="82" max="82" width="9.3984375" style="1" customWidth="1"/>
    <col min="83" max="16384" width="8.69921875" style="1"/>
  </cols>
  <sheetData>
    <row r="2" spans="2:15" ht="25.2">
      <c r="B2" s="197" t="s">
        <v>1631</v>
      </c>
    </row>
    <row r="4" spans="2:15" ht="130.19999999999999" customHeight="1">
      <c r="B4" s="206" t="s">
        <v>1632</v>
      </c>
      <c r="C4" s="206"/>
      <c r="D4" s="206"/>
      <c r="E4" s="206"/>
      <c r="F4" s="206"/>
      <c r="G4" s="206"/>
      <c r="H4" s="206"/>
      <c r="I4" s="206"/>
    </row>
    <row r="6" spans="2:15" ht="21" customHeight="1">
      <c r="B6" s="161" t="s">
        <v>1393</v>
      </c>
      <c r="C6" s="165" t="s">
        <v>1633</v>
      </c>
      <c r="D6" s="161" t="s">
        <v>1634</v>
      </c>
      <c r="E6" s="166" t="s">
        <v>1635</v>
      </c>
      <c r="F6" s="166" t="s">
        <v>1636</v>
      </c>
      <c r="G6" s="161" t="s">
        <v>1637</v>
      </c>
      <c r="H6" s="161" t="s">
        <v>1638</v>
      </c>
      <c r="I6" s="161" t="s">
        <v>1639</v>
      </c>
      <c r="L6" s="161" t="s">
        <v>1640</v>
      </c>
      <c r="M6" s="161" t="s">
        <v>1641</v>
      </c>
      <c r="N6" s="161" t="s">
        <v>1642</v>
      </c>
      <c r="O6" s="161" t="s">
        <v>1639</v>
      </c>
    </row>
    <row r="7" spans="2:15">
      <c r="B7" s="199" t="s">
        <v>161</v>
      </c>
      <c r="C7" s="40">
        <f>VLOOKUP($B7,'MAIN DATA, Orders'!$A:$L,4,0)</f>
        <v>43964</v>
      </c>
      <c r="D7" s="199">
        <v>2020</v>
      </c>
      <c r="E7" s="199">
        <f>VLOOKUP($B7,'MAIN DATA, Orders'!$A:$L,11,0)</f>
        <v>2020</v>
      </c>
      <c r="F7" s="199">
        <f>VLOOKUP($B7,'MAIN DATA, Orders'!$A:$L,12,0)</f>
        <v>2021</v>
      </c>
      <c r="G7" s="199">
        <f t="shared" ref="G7:G38" si="0">E7-D7</f>
        <v>0</v>
      </c>
      <c r="H7" s="199">
        <f t="shared" ref="H7:H38" si="1">F7-D7</f>
        <v>1</v>
      </c>
      <c r="I7" s="199">
        <f>AVERAGE(G7:H7)</f>
        <v>0.5</v>
      </c>
      <c r="J7" s="199"/>
      <c r="K7" s="199"/>
      <c r="L7" s="40">
        <v>43983</v>
      </c>
      <c r="M7" s="91">
        <f>AVERAGE(G7:G9)</f>
        <v>3.6666666666666665</v>
      </c>
      <c r="N7" s="91">
        <f>AVERAGE(H7:H9)</f>
        <v>6.333333333333333</v>
      </c>
      <c r="O7" s="91">
        <f>AVERAGE(I7:I9)</f>
        <v>5</v>
      </c>
    </row>
    <row r="8" spans="2:15">
      <c r="B8" s="199" t="s">
        <v>172</v>
      </c>
      <c r="C8" s="40">
        <f>VLOOKUP($B8,'MAIN DATA, Orders'!$A:$L,4,0)</f>
        <v>44000</v>
      </c>
      <c r="D8" s="199">
        <v>2020</v>
      </c>
      <c r="E8" s="199">
        <f>VLOOKUP($B8,'MAIN DATA, Orders'!$A:$L,11,0)</f>
        <v>2027</v>
      </c>
      <c r="F8" s="199">
        <f>VLOOKUP($B8,'MAIN DATA, Orders'!$A:$L,12,0)</f>
        <v>2031</v>
      </c>
      <c r="G8" s="199">
        <f t="shared" si="0"/>
        <v>7</v>
      </c>
      <c r="H8" s="199">
        <f t="shared" si="1"/>
        <v>11</v>
      </c>
      <c r="I8" s="199">
        <f>AVERAGE(G8:H8)</f>
        <v>9</v>
      </c>
      <c r="J8" s="199"/>
      <c r="K8" s="199"/>
      <c r="L8" s="40">
        <v>44075</v>
      </c>
      <c r="M8" s="91">
        <f>AVERAGE(G10:G13)</f>
        <v>1.5</v>
      </c>
      <c r="N8" s="91">
        <f>AVERAGE(H10:H13)</f>
        <v>5.5</v>
      </c>
      <c r="O8" s="91">
        <f>AVERAGE(I10:I13)</f>
        <v>3.5</v>
      </c>
    </row>
    <row r="9" spans="2:15">
      <c r="B9" s="199" t="s">
        <v>193</v>
      </c>
      <c r="C9" s="40">
        <f>VLOOKUP($B9,'MAIN DATA, Orders'!$A:$L,4,0)</f>
        <v>44000</v>
      </c>
      <c r="D9" s="199">
        <v>2020</v>
      </c>
      <c r="E9" s="199">
        <f>VLOOKUP($B9,'MAIN DATA, Orders'!$A:$L,11,0)</f>
        <v>2024</v>
      </c>
      <c r="F9" s="199">
        <f>VLOOKUP($B9,'MAIN DATA, Orders'!$A:$L,12,0)</f>
        <v>2027</v>
      </c>
      <c r="G9" s="199">
        <f t="shared" si="0"/>
        <v>4</v>
      </c>
      <c r="H9" s="199">
        <f t="shared" si="1"/>
        <v>7</v>
      </c>
      <c r="I9" s="199">
        <f t="shared" ref="I9:I72" si="2">AVERAGE(G9:H9)</f>
        <v>5.5</v>
      </c>
      <c r="J9" s="40"/>
      <c r="K9" s="199"/>
      <c r="L9" s="40">
        <v>44166</v>
      </c>
      <c r="M9" s="91">
        <f>AVERAGE(G14:G21)</f>
        <v>1.375</v>
      </c>
      <c r="N9" s="91">
        <f>AVERAGE(H14:H21)</f>
        <v>2.75</v>
      </c>
      <c r="O9" s="91">
        <f>AVERAGE(I14:I21)</f>
        <v>2.0625</v>
      </c>
    </row>
    <row r="10" spans="2:15">
      <c r="B10" s="199" t="s">
        <v>205</v>
      </c>
      <c r="C10" s="40">
        <f>VLOOKUP($B10,'MAIN DATA, Orders'!$A:$L,4,0)</f>
        <v>44084</v>
      </c>
      <c r="D10" s="199">
        <v>2020</v>
      </c>
      <c r="E10" s="199">
        <f>VLOOKUP($B10,'MAIN DATA, Orders'!$A:$L,11,0)</f>
        <v>2021</v>
      </c>
      <c r="F10" s="199">
        <f>VLOOKUP($B10,'MAIN DATA, Orders'!$A:$L,12,0)</f>
        <v>2027</v>
      </c>
      <c r="G10" s="199">
        <f t="shared" si="0"/>
        <v>1</v>
      </c>
      <c r="H10" s="199">
        <f t="shared" si="1"/>
        <v>7</v>
      </c>
      <c r="I10" s="199">
        <f t="shared" si="2"/>
        <v>4</v>
      </c>
      <c r="J10" s="40"/>
      <c r="K10" s="199"/>
      <c r="L10" s="40">
        <v>43891</v>
      </c>
      <c r="M10" s="91">
        <f>AVERAGE(G22:G23)</f>
        <v>1</v>
      </c>
      <c r="N10" s="91">
        <f>AVERAGE(H22:H23)</f>
        <v>3</v>
      </c>
      <c r="O10" s="91">
        <f>AVERAGE(I22:I23)</f>
        <v>2</v>
      </c>
    </row>
    <row r="11" spans="2:15">
      <c r="B11" s="199" t="s">
        <v>228</v>
      </c>
      <c r="C11" s="40">
        <f>VLOOKUP($B11,'MAIN DATA, Orders'!$A:$L,4,0)</f>
        <v>44084</v>
      </c>
      <c r="D11" s="199">
        <v>2020</v>
      </c>
      <c r="E11" s="199">
        <f>VLOOKUP($B11,'MAIN DATA, Orders'!$A:$L,11,0)</f>
        <v>2022</v>
      </c>
      <c r="F11" s="199">
        <f>VLOOKUP($B11,'MAIN DATA, Orders'!$A:$L,12,0)</f>
        <v>2026</v>
      </c>
      <c r="G11" s="199">
        <f t="shared" si="0"/>
        <v>2</v>
      </c>
      <c r="H11" s="199">
        <f t="shared" si="1"/>
        <v>6</v>
      </c>
      <c r="I11" s="199">
        <f t="shared" si="2"/>
        <v>4</v>
      </c>
      <c r="J11" s="199"/>
      <c r="K11" s="199"/>
      <c r="L11" s="40">
        <v>44348</v>
      </c>
      <c r="M11" s="91">
        <f>AVERAGE(G24:G44)</f>
        <v>1.4285714285714286</v>
      </c>
      <c r="N11" s="91">
        <f>AVERAGE(H24:H44)</f>
        <v>4.9523809523809526</v>
      </c>
      <c r="O11" s="91">
        <f>AVERAGE(I24:I44)</f>
        <v>3.1904761904761907</v>
      </c>
    </row>
    <row r="12" spans="2:15">
      <c r="B12" s="199" t="s">
        <v>235</v>
      </c>
      <c r="C12" s="40">
        <f>VLOOKUP($B12,'MAIN DATA, Orders'!$A:$L,4,0)</f>
        <v>44084</v>
      </c>
      <c r="D12" s="199">
        <v>2020</v>
      </c>
      <c r="E12" s="199">
        <f>VLOOKUP($B12,'MAIN DATA, Orders'!$A:$L,11,0)</f>
        <v>2022</v>
      </c>
      <c r="F12" s="199">
        <f>VLOOKUP($B12,'MAIN DATA, Orders'!$A:$L,12,0)</f>
        <v>2026</v>
      </c>
      <c r="G12" s="199">
        <f t="shared" si="0"/>
        <v>2</v>
      </c>
      <c r="H12" s="199">
        <f t="shared" si="1"/>
        <v>6</v>
      </c>
      <c r="I12" s="199">
        <f t="shared" si="2"/>
        <v>4</v>
      </c>
      <c r="J12" s="199"/>
      <c r="K12" s="199"/>
      <c r="L12" s="40">
        <v>44713</v>
      </c>
      <c r="M12" s="91">
        <f>AVERAGE(G45:G48)</f>
        <v>2</v>
      </c>
      <c r="N12" s="91">
        <f t="shared" ref="N12:O12" si="3">AVERAGE(H45:H48)</f>
        <v>4.25</v>
      </c>
      <c r="O12" s="91">
        <f t="shared" si="3"/>
        <v>3.125</v>
      </c>
    </row>
    <row r="13" spans="2:15">
      <c r="B13" s="199" t="s">
        <v>238</v>
      </c>
      <c r="C13" s="40">
        <f>VLOOKUP($B13,'MAIN DATA, Orders'!$A:$L,4,0)</f>
        <v>44090</v>
      </c>
      <c r="D13" s="199">
        <v>2020</v>
      </c>
      <c r="E13" s="199">
        <f>VLOOKUP($B13,'MAIN DATA, Orders'!$A:$L,11,0)</f>
        <v>2021</v>
      </c>
      <c r="F13" s="199">
        <f>VLOOKUP($B13,'MAIN DATA, Orders'!$A:$L,12,0)</f>
        <v>2023</v>
      </c>
      <c r="G13" s="199">
        <f t="shared" si="0"/>
        <v>1</v>
      </c>
      <c r="H13" s="199">
        <f t="shared" si="1"/>
        <v>3</v>
      </c>
      <c r="I13" s="199">
        <f t="shared" si="2"/>
        <v>2</v>
      </c>
      <c r="J13" s="40"/>
      <c r="K13" s="199"/>
      <c r="L13" s="40">
        <v>44805</v>
      </c>
      <c r="M13" s="91">
        <f>AVERAGE(G49:G52)</f>
        <v>1.5</v>
      </c>
      <c r="N13" s="91">
        <f t="shared" ref="N13:O13" si="4">AVERAGE(H49:H52)</f>
        <v>4.25</v>
      </c>
      <c r="O13" s="91">
        <f t="shared" si="4"/>
        <v>2.875</v>
      </c>
    </row>
    <row r="14" spans="2:15">
      <c r="B14" s="199" t="s">
        <v>244</v>
      </c>
      <c r="C14" s="40">
        <f>VLOOKUP($B14,'MAIN DATA, Orders'!$A:$L,4,0)</f>
        <v>44111</v>
      </c>
      <c r="D14" s="199">
        <v>2020</v>
      </c>
      <c r="E14" s="199">
        <f>VLOOKUP($B14,'MAIN DATA, Orders'!$A:$L,11,0)</f>
        <v>2021</v>
      </c>
      <c r="F14" s="199">
        <f>VLOOKUP($B14,'MAIN DATA, Orders'!$A:$L,12,0)</f>
        <v>2021</v>
      </c>
      <c r="G14" s="199">
        <f t="shared" si="0"/>
        <v>1</v>
      </c>
      <c r="H14" s="199">
        <f t="shared" si="1"/>
        <v>1</v>
      </c>
      <c r="I14" s="199">
        <f t="shared" si="2"/>
        <v>1</v>
      </c>
      <c r="J14" s="199"/>
      <c r="K14" s="199"/>
      <c r="L14" s="40">
        <v>44896</v>
      </c>
      <c r="M14" s="91">
        <f>AVERAGE(G53:G60)</f>
        <v>1.25</v>
      </c>
      <c r="N14" s="91">
        <f t="shared" ref="N14:O14" si="5">AVERAGE(H53:H60)</f>
        <v>4.375</v>
      </c>
      <c r="O14" s="91">
        <f t="shared" si="5"/>
        <v>2.8125</v>
      </c>
    </row>
    <row r="15" spans="2:15">
      <c r="B15" s="199" t="s">
        <v>250</v>
      </c>
      <c r="C15" s="40">
        <f>VLOOKUP($B15,'MAIN DATA, Orders'!$A:$L,4,0)</f>
        <v>44140</v>
      </c>
      <c r="D15" s="199">
        <v>2020</v>
      </c>
      <c r="E15" s="199">
        <f>VLOOKUP($B15,'MAIN DATA, Orders'!$A:$L,11,0)</f>
        <v>2025</v>
      </c>
      <c r="F15" s="199">
        <f>VLOOKUP($B15,'MAIN DATA, Orders'!$A:$L,12,0)</f>
        <v>2030</v>
      </c>
      <c r="G15" s="199">
        <f t="shared" si="0"/>
        <v>5</v>
      </c>
      <c r="H15" s="199">
        <f t="shared" si="1"/>
        <v>10</v>
      </c>
      <c r="I15" s="199">
        <f t="shared" si="2"/>
        <v>7.5</v>
      </c>
      <c r="J15" s="199"/>
      <c r="K15" s="199"/>
      <c r="L15" s="40">
        <v>44986</v>
      </c>
      <c r="M15" s="91">
        <f>AVERAGE(G61:G67)</f>
        <v>1</v>
      </c>
      <c r="N15" s="91">
        <f t="shared" ref="N15:O15" si="6">AVERAGE(H61:H67)</f>
        <v>3</v>
      </c>
      <c r="O15" s="91">
        <f t="shared" si="6"/>
        <v>2</v>
      </c>
    </row>
    <row r="16" spans="2:15">
      <c r="B16" s="199" t="s">
        <v>265</v>
      </c>
      <c r="C16" s="40">
        <f>VLOOKUP($B16,'MAIN DATA, Orders'!$A:$L,4,0)</f>
        <v>44154</v>
      </c>
      <c r="D16" s="199">
        <v>2020</v>
      </c>
      <c r="E16" s="199">
        <f>VLOOKUP($B16,'MAIN DATA, Orders'!$A:$L,11,0)</f>
        <v>2020</v>
      </c>
      <c r="F16" s="199">
        <f>VLOOKUP($B16,'MAIN DATA, Orders'!$A:$L,12,0)</f>
        <v>2020</v>
      </c>
      <c r="G16" s="199">
        <f t="shared" si="0"/>
        <v>0</v>
      </c>
      <c r="H16" s="199">
        <f t="shared" si="1"/>
        <v>0</v>
      </c>
      <c r="I16" s="199">
        <f t="shared" si="2"/>
        <v>0</v>
      </c>
      <c r="J16" s="199"/>
      <c r="K16" s="199"/>
      <c r="L16" s="40">
        <v>45078</v>
      </c>
      <c r="M16" s="91">
        <f>AVERAGE(G68:G73)</f>
        <v>1.5</v>
      </c>
      <c r="N16" s="91">
        <f t="shared" ref="N16:O16" si="7">AVERAGE(H68:H73)</f>
        <v>2.8333333333333335</v>
      </c>
      <c r="O16" s="91">
        <f t="shared" si="7"/>
        <v>2.1666666666666665</v>
      </c>
    </row>
    <row r="17" spans="2:15">
      <c r="B17" s="199" t="s">
        <v>283</v>
      </c>
      <c r="C17" s="40">
        <f>VLOOKUP($B17,'MAIN DATA, Orders'!$A:$L,4,0)</f>
        <v>44161</v>
      </c>
      <c r="D17" s="199">
        <v>2020</v>
      </c>
      <c r="E17" s="199">
        <f>VLOOKUP($B17,'MAIN DATA, Orders'!$A:$L,11,0)</f>
        <v>2021</v>
      </c>
      <c r="F17" s="199">
        <f>VLOOKUP($B17,'MAIN DATA, Orders'!$A:$L,12,0)</f>
        <v>2025</v>
      </c>
      <c r="G17" s="199">
        <f t="shared" si="0"/>
        <v>1</v>
      </c>
      <c r="H17" s="199">
        <f t="shared" si="1"/>
        <v>5</v>
      </c>
      <c r="I17" s="199">
        <f t="shared" si="2"/>
        <v>3</v>
      </c>
      <c r="J17" s="199"/>
      <c r="K17" s="199"/>
      <c r="L17" s="40">
        <v>45170</v>
      </c>
      <c r="M17" s="91">
        <f>AVERAGE(G74:G77)</f>
        <v>3</v>
      </c>
      <c r="N17" s="91">
        <f t="shared" ref="N17:O17" si="8">AVERAGE(H74:H77)</f>
        <v>6.25</v>
      </c>
      <c r="O17" s="91">
        <f t="shared" si="8"/>
        <v>4.625</v>
      </c>
    </row>
    <row r="18" spans="2:15">
      <c r="B18" s="199" t="s">
        <v>298</v>
      </c>
      <c r="C18" s="40">
        <f>VLOOKUP($B18,'MAIN DATA, Orders'!$A:$L,4,0)</f>
        <v>44161</v>
      </c>
      <c r="D18" s="199">
        <v>2020</v>
      </c>
      <c r="E18" s="199">
        <f>VLOOKUP($B18,'MAIN DATA, Orders'!$A:$L,11,0)</f>
        <v>2021</v>
      </c>
      <c r="F18" s="199">
        <f>VLOOKUP($B18,'MAIN DATA, Orders'!$A:$L,12,0)</f>
        <v>2021</v>
      </c>
      <c r="G18" s="199">
        <f t="shared" si="0"/>
        <v>1</v>
      </c>
      <c r="H18" s="199">
        <f t="shared" si="1"/>
        <v>1</v>
      </c>
      <c r="I18" s="199">
        <f t="shared" si="2"/>
        <v>1</v>
      </c>
      <c r="J18" s="199"/>
      <c r="K18" s="199"/>
      <c r="L18" s="40">
        <v>45261</v>
      </c>
      <c r="M18" s="91">
        <f>AVERAGE(G78:G92)</f>
        <v>1.9333333333333333</v>
      </c>
      <c r="N18" s="91">
        <f t="shared" ref="N18:O18" si="9">AVERAGE(H78:H92)</f>
        <v>5.5333333333333332</v>
      </c>
      <c r="O18" s="91">
        <f t="shared" si="9"/>
        <v>3.7333333333333334</v>
      </c>
    </row>
    <row r="19" spans="2:15">
      <c r="B19" s="199" t="s">
        <v>301</v>
      </c>
      <c r="C19" s="40">
        <f>VLOOKUP($B19,'MAIN DATA, Orders'!$A:$L,4,0)</f>
        <v>44161</v>
      </c>
      <c r="D19" s="199">
        <v>2020</v>
      </c>
      <c r="E19" s="199">
        <f>VLOOKUP($B19,'MAIN DATA, Orders'!$A:$L,11,0)</f>
        <v>2021</v>
      </c>
      <c r="F19" s="199">
        <f>VLOOKUP($B19,'MAIN DATA, Orders'!$A:$L,12,0)</f>
        <v>2021</v>
      </c>
      <c r="G19" s="199">
        <f t="shared" si="0"/>
        <v>1</v>
      </c>
      <c r="H19" s="199">
        <f t="shared" si="1"/>
        <v>1</v>
      </c>
      <c r="I19" s="199">
        <f t="shared" si="2"/>
        <v>1</v>
      </c>
      <c r="J19" s="199"/>
      <c r="K19" s="199"/>
      <c r="L19" s="40">
        <v>45352</v>
      </c>
      <c r="M19" s="91">
        <f>AVERAGE(G93:G96)</f>
        <v>1</v>
      </c>
      <c r="N19" s="91">
        <f>AVERAGE(H93:H96)</f>
        <v>4</v>
      </c>
      <c r="O19" s="91">
        <f t="shared" ref="O19" si="10">AVERAGE(I93:I96)</f>
        <v>2.5</v>
      </c>
    </row>
    <row r="20" spans="2:15">
      <c r="B20" s="199" t="s">
        <v>305</v>
      </c>
      <c r="C20" s="40">
        <f>VLOOKUP($B20,'MAIN DATA, Orders'!$A:$L,4,0)</f>
        <v>44161</v>
      </c>
      <c r="D20" s="199">
        <v>2020</v>
      </c>
      <c r="E20" s="199">
        <f>VLOOKUP($B20,'MAIN DATA, Orders'!$A:$L,11,0)</f>
        <v>2021</v>
      </c>
      <c r="F20" s="199">
        <f>VLOOKUP($B20,'MAIN DATA, Orders'!$A:$L,12,0)</f>
        <v>2022</v>
      </c>
      <c r="G20" s="199">
        <f t="shared" si="0"/>
        <v>1</v>
      </c>
      <c r="H20" s="199">
        <f t="shared" si="1"/>
        <v>2</v>
      </c>
      <c r="I20" s="199">
        <f t="shared" si="2"/>
        <v>1.5</v>
      </c>
      <c r="J20" s="199"/>
      <c r="K20" s="199"/>
      <c r="L20" s="154">
        <v>45474</v>
      </c>
      <c r="M20" s="160">
        <f>AVERAGE(G97:G112)</f>
        <v>1.75</v>
      </c>
      <c r="N20" s="160">
        <f t="shared" ref="N20:O20" si="11">AVERAGE(H97:H112)</f>
        <v>3.3125</v>
      </c>
      <c r="O20" s="160">
        <f t="shared" si="11"/>
        <v>2.53125</v>
      </c>
    </row>
    <row r="21" spans="2:15">
      <c r="B21" s="199" t="s">
        <v>306</v>
      </c>
      <c r="C21" s="40">
        <f>VLOOKUP($B21,'MAIN DATA, Orders'!$A:$L,4,0)</f>
        <v>44161</v>
      </c>
      <c r="D21" s="199">
        <v>2020</v>
      </c>
      <c r="E21" s="199">
        <f>VLOOKUP($B21,'MAIN DATA, Orders'!$A:$L,11,0)</f>
        <v>2021</v>
      </c>
      <c r="F21" s="199">
        <f>VLOOKUP($B21,'MAIN DATA, Orders'!$A:$L,12,0)</f>
        <v>2022</v>
      </c>
      <c r="G21" s="199">
        <f t="shared" si="0"/>
        <v>1</v>
      </c>
      <c r="H21" s="199">
        <f t="shared" si="1"/>
        <v>2</v>
      </c>
      <c r="I21" s="199">
        <f t="shared" si="2"/>
        <v>1.5</v>
      </c>
      <c r="J21" s="40"/>
      <c r="K21" s="199"/>
      <c r="L21" s="199"/>
      <c r="M21" s="199"/>
      <c r="N21" s="199"/>
      <c r="O21" s="199"/>
    </row>
    <row r="22" spans="2:15">
      <c r="B22" s="199" t="s">
        <v>329</v>
      </c>
      <c r="C22" s="40">
        <f>VLOOKUP($B22,'MAIN DATA, Orders'!$A:$L,4,0)</f>
        <v>44237</v>
      </c>
      <c r="D22" s="199">
        <v>2021</v>
      </c>
      <c r="E22" s="199">
        <f>VLOOKUP($B22,'MAIN DATA, Orders'!$A:$L,11,0)</f>
        <v>2022</v>
      </c>
      <c r="F22" s="199">
        <f>VLOOKUP($B22,'MAIN DATA, Orders'!$A:$L,12,0)</f>
        <v>2024</v>
      </c>
      <c r="G22" s="199">
        <f t="shared" si="0"/>
        <v>1</v>
      </c>
      <c r="H22" s="199">
        <f t="shared" si="1"/>
        <v>3</v>
      </c>
      <c r="I22" s="199">
        <f t="shared" si="2"/>
        <v>2</v>
      </c>
      <c r="J22" s="199"/>
      <c r="K22" s="199"/>
      <c r="L22" s="199"/>
      <c r="M22" s="199"/>
      <c r="N22" s="199"/>
      <c r="O22" s="199"/>
    </row>
    <row r="23" spans="2:15">
      <c r="B23" s="199" t="s">
        <v>331</v>
      </c>
      <c r="C23" s="40">
        <f>VLOOKUP($B23,'MAIN DATA, Orders'!$A:$L,4,0)</f>
        <v>44237</v>
      </c>
      <c r="D23" s="199">
        <v>2021</v>
      </c>
      <c r="E23" s="199">
        <f>VLOOKUP($B23,'MAIN DATA, Orders'!$A:$L,11,0)</f>
        <v>2022</v>
      </c>
      <c r="F23" s="199">
        <f>VLOOKUP($B23,'MAIN DATA, Orders'!$A:$L,12,0)</f>
        <v>2024</v>
      </c>
      <c r="G23" s="199">
        <f t="shared" si="0"/>
        <v>1</v>
      </c>
      <c r="H23" s="199">
        <f t="shared" si="1"/>
        <v>3</v>
      </c>
      <c r="I23" s="199">
        <f t="shared" si="2"/>
        <v>2</v>
      </c>
      <c r="J23" s="40"/>
      <c r="K23" s="199"/>
      <c r="L23" s="199"/>
      <c r="M23" s="199"/>
      <c r="N23" s="199"/>
      <c r="O23" s="199"/>
    </row>
    <row r="24" spans="2:15">
      <c r="B24" s="199" t="s">
        <v>333</v>
      </c>
      <c r="C24" s="40">
        <f>VLOOKUP($B24,'MAIN DATA, Orders'!$A:$L,4,0)</f>
        <v>44300</v>
      </c>
      <c r="D24" s="199">
        <v>2021</v>
      </c>
      <c r="E24" s="199">
        <f>VLOOKUP($B24,'MAIN DATA, Orders'!$A:$L,11,0)</f>
        <v>2023</v>
      </c>
      <c r="F24" s="199">
        <f>VLOOKUP($B24,'MAIN DATA, Orders'!$A:$L,12,0)</f>
        <v>2029</v>
      </c>
      <c r="G24" s="199">
        <f t="shared" si="0"/>
        <v>2</v>
      </c>
      <c r="H24" s="199">
        <f t="shared" si="1"/>
        <v>8</v>
      </c>
      <c r="I24" s="199">
        <f t="shared" si="2"/>
        <v>5</v>
      </c>
      <c r="J24" s="199"/>
      <c r="K24" s="199"/>
      <c r="L24" s="199"/>
      <c r="M24" s="199"/>
      <c r="N24" s="199"/>
      <c r="O24" s="199"/>
    </row>
    <row r="25" spans="2:15">
      <c r="B25" s="199" t="s">
        <v>339</v>
      </c>
      <c r="C25" s="40">
        <f>VLOOKUP($B25,'MAIN DATA, Orders'!$A:$L,4,0)</f>
        <v>44300</v>
      </c>
      <c r="D25" s="199">
        <v>2021</v>
      </c>
      <c r="E25" s="199">
        <f>VLOOKUP($B25,'MAIN DATA, Orders'!$A:$L,11,0)</f>
        <v>2021</v>
      </c>
      <c r="F25" s="199">
        <f>VLOOKUP($B25,'MAIN DATA, Orders'!$A:$L,12,0)</f>
        <v>2025</v>
      </c>
      <c r="G25" s="199">
        <f t="shared" si="0"/>
        <v>0</v>
      </c>
      <c r="H25" s="199">
        <f t="shared" si="1"/>
        <v>4</v>
      </c>
      <c r="I25" s="199">
        <f t="shared" si="2"/>
        <v>2</v>
      </c>
      <c r="J25" s="199"/>
      <c r="K25" s="199"/>
      <c r="L25" s="199"/>
      <c r="M25" s="199"/>
      <c r="N25" s="199"/>
      <c r="O25" s="199"/>
    </row>
    <row r="26" spans="2:15">
      <c r="B26" s="199" t="s">
        <v>347</v>
      </c>
      <c r="C26" s="40">
        <f>VLOOKUP($B26,'MAIN DATA, Orders'!$A:$L,4,0)</f>
        <v>44300</v>
      </c>
      <c r="D26" s="199">
        <v>2021</v>
      </c>
      <c r="E26" s="199">
        <f>VLOOKUP($B26,'MAIN DATA, Orders'!$A:$L,11,0)</f>
        <v>2021</v>
      </c>
      <c r="F26" s="199">
        <f>VLOOKUP($B26,'MAIN DATA, Orders'!$A:$L,12,0)</f>
        <v>2024</v>
      </c>
      <c r="G26" s="199">
        <f t="shared" si="0"/>
        <v>0</v>
      </c>
      <c r="H26" s="199">
        <f t="shared" si="1"/>
        <v>3</v>
      </c>
      <c r="I26" s="199">
        <f t="shared" si="2"/>
        <v>1.5</v>
      </c>
      <c r="J26" s="199"/>
      <c r="K26" s="199"/>
      <c r="L26" s="199"/>
      <c r="M26" s="199"/>
      <c r="N26" s="199"/>
      <c r="O26" s="199"/>
    </row>
    <row r="27" spans="2:15">
      <c r="B27" s="199" t="s">
        <v>352</v>
      </c>
      <c r="C27" s="40">
        <f>VLOOKUP($B27,'MAIN DATA, Orders'!$A:$L,4,0)</f>
        <v>44300</v>
      </c>
      <c r="D27" s="199">
        <v>2021</v>
      </c>
      <c r="E27" s="199">
        <f>VLOOKUP($B27,'MAIN DATA, Orders'!$A:$L,11,0)</f>
        <v>2021</v>
      </c>
      <c r="F27" s="199">
        <f>VLOOKUP($B27,'MAIN DATA, Orders'!$A:$L,12,0)</f>
        <v>2025</v>
      </c>
      <c r="G27" s="199">
        <f t="shared" si="0"/>
        <v>0</v>
      </c>
      <c r="H27" s="199">
        <f t="shared" si="1"/>
        <v>4</v>
      </c>
      <c r="I27" s="199">
        <f t="shared" si="2"/>
        <v>2</v>
      </c>
      <c r="J27" s="199"/>
      <c r="K27" s="199"/>
      <c r="L27" s="199"/>
      <c r="M27" s="199"/>
      <c r="N27" s="199"/>
      <c r="O27" s="199"/>
    </row>
    <row r="28" spans="2:15">
      <c r="B28" s="199" t="s">
        <v>371</v>
      </c>
      <c r="C28" s="40">
        <f>VLOOKUP($B28,'MAIN DATA, Orders'!$A:$L,4,0)</f>
        <v>44307</v>
      </c>
      <c r="D28" s="199">
        <v>2021</v>
      </c>
      <c r="E28" s="199">
        <f>VLOOKUP($B28,'MAIN DATA, Orders'!$A:$L,11,0)</f>
        <v>2022</v>
      </c>
      <c r="F28" s="199">
        <f>VLOOKUP($B28,'MAIN DATA, Orders'!$A:$L,12,0)</f>
        <v>2024</v>
      </c>
      <c r="G28" s="199">
        <f t="shared" si="0"/>
        <v>1</v>
      </c>
      <c r="H28" s="199">
        <f t="shared" si="1"/>
        <v>3</v>
      </c>
      <c r="I28" s="199">
        <f t="shared" si="2"/>
        <v>2</v>
      </c>
      <c r="J28" s="199"/>
      <c r="K28" s="199"/>
      <c r="L28" s="199"/>
      <c r="M28" s="199"/>
      <c r="N28" s="199"/>
      <c r="O28" s="199"/>
    </row>
    <row r="29" spans="2:15">
      <c r="B29" s="199" t="s">
        <v>386</v>
      </c>
      <c r="C29" s="40">
        <f>VLOOKUP($B29,'MAIN DATA, Orders'!$A:$L,4,0)</f>
        <v>44330</v>
      </c>
      <c r="D29" s="199">
        <v>2021</v>
      </c>
      <c r="E29" s="199">
        <f>VLOOKUP($B29,'MAIN DATA, Orders'!$A:$L,11,0)</f>
        <v>2021</v>
      </c>
      <c r="F29" s="199">
        <f>VLOOKUP($B29,'MAIN DATA, Orders'!$A:$L,12,0)</f>
        <v>2031</v>
      </c>
      <c r="G29" s="199">
        <f t="shared" si="0"/>
        <v>0</v>
      </c>
      <c r="H29" s="199">
        <f t="shared" si="1"/>
        <v>10</v>
      </c>
      <c r="I29" s="199">
        <f t="shared" si="2"/>
        <v>5</v>
      </c>
      <c r="J29" s="199"/>
      <c r="K29" s="199"/>
      <c r="L29" s="199"/>
      <c r="M29" s="199"/>
      <c r="N29" s="199"/>
      <c r="O29" s="199"/>
    </row>
    <row r="30" spans="2:15">
      <c r="B30" s="199" t="s">
        <v>397</v>
      </c>
      <c r="C30" s="40">
        <f>VLOOKUP($B30,'MAIN DATA, Orders'!$A:$L,4,0)</f>
        <v>44335</v>
      </c>
      <c r="D30" s="199">
        <v>2021</v>
      </c>
      <c r="E30" s="199">
        <f>VLOOKUP($B30,'MAIN DATA, Orders'!$A:$L,11,0)</f>
        <v>2022</v>
      </c>
      <c r="F30" s="199">
        <f>VLOOKUP($B30,'MAIN DATA, Orders'!$A:$L,12,0)</f>
        <v>2024</v>
      </c>
      <c r="G30" s="199">
        <f t="shared" si="0"/>
        <v>1</v>
      </c>
      <c r="H30" s="199">
        <f t="shared" si="1"/>
        <v>3</v>
      </c>
      <c r="I30" s="199">
        <f t="shared" si="2"/>
        <v>2</v>
      </c>
      <c r="J30" s="199"/>
      <c r="K30" s="199"/>
      <c r="L30" s="199"/>
      <c r="M30" s="199"/>
      <c r="N30" s="199"/>
      <c r="O30" s="199"/>
    </row>
    <row r="31" spans="2:15">
      <c r="B31" s="199" t="s">
        <v>402</v>
      </c>
      <c r="C31" s="40">
        <f>VLOOKUP($B31,'MAIN DATA, Orders'!$A:$L,4,0)</f>
        <v>44335</v>
      </c>
      <c r="D31" s="199">
        <v>2021</v>
      </c>
      <c r="E31" s="199">
        <f>VLOOKUP($B31,'MAIN DATA, Orders'!$A:$L,11,0)</f>
        <v>2021</v>
      </c>
      <c r="F31" s="199">
        <f>VLOOKUP($B31,'MAIN DATA, Orders'!$A:$L,12,0)</f>
        <v>2023</v>
      </c>
      <c r="G31" s="199">
        <f t="shared" si="0"/>
        <v>0</v>
      </c>
      <c r="H31" s="199">
        <f t="shared" si="1"/>
        <v>2</v>
      </c>
      <c r="I31" s="199">
        <f t="shared" si="2"/>
        <v>1</v>
      </c>
      <c r="J31" s="199"/>
      <c r="K31" s="199"/>
      <c r="L31" s="199"/>
      <c r="M31" s="199"/>
      <c r="N31" s="199"/>
      <c r="O31" s="199"/>
    </row>
    <row r="32" spans="2:15">
      <c r="B32" s="199" t="s">
        <v>408</v>
      </c>
      <c r="C32" s="40">
        <f>VLOOKUP($B32,'MAIN DATA, Orders'!$A:$L,4,0)</f>
        <v>44335</v>
      </c>
      <c r="D32" s="199">
        <v>2021</v>
      </c>
      <c r="E32" s="199">
        <f>VLOOKUP($B32,'MAIN DATA, Orders'!$A:$L,11,0)</f>
        <v>2021</v>
      </c>
      <c r="F32" s="199">
        <f>VLOOKUP($B32,'MAIN DATA, Orders'!$A:$L,12,0)</f>
        <v>2027</v>
      </c>
      <c r="G32" s="199">
        <f t="shared" si="0"/>
        <v>0</v>
      </c>
      <c r="H32" s="199">
        <f t="shared" si="1"/>
        <v>6</v>
      </c>
      <c r="I32" s="199">
        <f t="shared" si="2"/>
        <v>3</v>
      </c>
      <c r="J32" s="199"/>
      <c r="K32" s="199"/>
      <c r="L32" s="199"/>
      <c r="M32" s="199"/>
      <c r="N32" s="199"/>
      <c r="O32" s="199"/>
    </row>
    <row r="33" spans="2:9">
      <c r="B33" s="199" t="s">
        <v>414</v>
      </c>
      <c r="C33" s="40">
        <f>VLOOKUP($B33,'MAIN DATA, Orders'!$A:$L,4,0)</f>
        <v>44370</v>
      </c>
      <c r="D33" s="199">
        <v>2021</v>
      </c>
      <c r="E33" s="199">
        <f>VLOOKUP($B33,'MAIN DATA, Orders'!$A:$L,11,0)</f>
        <v>2024</v>
      </c>
      <c r="F33" s="199">
        <f>VLOOKUP($B33,'MAIN DATA, Orders'!$A:$L,12,0)</f>
        <v>2025</v>
      </c>
      <c r="G33" s="199">
        <f t="shared" si="0"/>
        <v>3</v>
      </c>
      <c r="H33" s="199">
        <f t="shared" si="1"/>
        <v>4</v>
      </c>
      <c r="I33" s="199">
        <f t="shared" si="2"/>
        <v>3.5</v>
      </c>
    </row>
    <row r="34" spans="2:9">
      <c r="B34" s="199" t="s">
        <v>421</v>
      </c>
      <c r="C34" s="40">
        <f>VLOOKUP($B34,'MAIN DATA, Orders'!$A:$L,4,0)</f>
        <v>44370</v>
      </c>
      <c r="D34" s="199">
        <v>2021</v>
      </c>
      <c r="E34" s="199">
        <f>VLOOKUP($B34,'MAIN DATA, Orders'!$A:$L,11,0)</f>
        <v>2021</v>
      </c>
      <c r="F34" s="199">
        <f>VLOOKUP($B34,'MAIN DATA, Orders'!$A:$L,12,0)</f>
        <v>2027</v>
      </c>
      <c r="G34" s="199">
        <f t="shared" si="0"/>
        <v>0</v>
      </c>
      <c r="H34" s="199">
        <f t="shared" si="1"/>
        <v>6</v>
      </c>
      <c r="I34" s="199">
        <f t="shared" si="2"/>
        <v>3</v>
      </c>
    </row>
    <row r="35" spans="2:9">
      <c r="B35" s="199" t="s">
        <v>427</v>
      </c>
      <c r="C35" s="40">
        <f>VLOOKUP($B35,'MAIN DATA, Orders'!$A:$L,4,0)</f>
        <v>44370</v>
      </c>
      <c r="D35" s="199">
        <v>2021</v>
      </c>
      <c r="E35" s="199">
        <f>VLOOKUP($B35,'MAIN DATA, Orders'!$A:$L,11,0)</f>
        <v>2026</v>
      </c>
      <c r="F35" s="199">
        <f>VLOOKUP($B35,'MAIN DATA, Orders'!$A:$L,12,0)</f>
        <v>2028</v>
      </c>
      <c r="G35" s="199">
        <f t="shared" si="0"/>
        <v>5</v>
      </c>
      <c r="H35" s="199">
        <f t="shared" si="1"/>
        <v>7</v>
      </c>
      <c r="I35" s="199">
        <f t="shared" si="2"/>
        <v>6</v>
      </c>
    </row>
    <row r="36" spans="2:9">
      <c r="B36" s="199" t="s">
        <v>441</v>
      </c>
      <c r="C36" s="40">
        <f>VLOOKUP($B36,'MAIN DATA, Orders'!$A:$L,4,0)</f>
        <v>44370</v>
      </c>
      <c r="D36" s="199">
        <v>2021</v>
      </c>
      <c r="E36" s="199">
        <f>VLOOKUP($B36,'MAIN DATA, Orders'!$A:$L,11,0)</f>
        <v>2023</v>
      </c>
      <c r="F36" s="199">
        <f>VLOOKUP($B36,'MAIN DATA, Orders'!$A:$L,12,0)</f>
        <v>2026</v>
      </c>
      <c r="G36" s="199">
        <f t="shared" si="0"/>
        <v>2</v>
      </c>
      <c r="H36" s="199">
        <f t="shared" si="1"/>
        <v>5</v>
      </c>
      <c r="I36" s="199">
        <f t="shared" si="2"/>
        <v>3.5</v>
      </c>
    </row>
    <row r="37" spans="2:9">
      <c r="B37" s="199" t="s">
        <v>501</v>
      </c>
      <c r="C37" s="40">
        <f>VLOOKUP($B37,'MAIN DATA, Orders'!$A:$L,4,0)</f>
        <v>44370</v>
      </c>
      <c r="D37" s="199">
        <v>2021</v>
      </c>
      <c r="E37" s="199">
        <f>VLOOKUP($B37,'MAIN DATA, Orders'!$A:$L,11,0)</f>
        <v>2022</v>
      </c>
      <c r="F37" s="199">
        <f>VLOOKUP($B37,'MAIN DATA, Orders'!$A:$L,12,0)</f>
        <v>2025</v>
      </c>
      <c r="G37" s="199">
        <f t="shared" si="0"/>
        <v>1</v>
      </c>
      <c r="H37" s="199">
        <f t="shared" si="1"/>
        <v>4</v>
      </c>
      <c r="I37" s="199">
        <f t="shared" si="2"/>
        <v>2.5</v>
      </c>
    </row>
    <row r="38" spans="2:9">
      <c r="B38" s="199" t="s">
        <v>507</v>
      </c>
      <c r="C38" s="40">
        <f>VLOOKUP($B38,'MAIN DATA, Orders'!$A:$L,4,0)</f>
        <v>44370</v>
      </c>
      <c r="D38" s="199">
        <v>2021</v>
      </c>
      <c r="E38" s="199">
        <f>VLOOKUP($B38,'MAIN DATA, Orders'!$A:$L,11,0)</f>
        <v>2024</v>
      </c>
      <c r="F38" s="199">
        <f>VLOOKUP($B38,'MAIN DATA, Orders'!$A:$L,12,0)</f>
        <v>2026</v>
      </c>
      <c r="G38" s="199">
        <f t="shared" si="0"/>
        <v>3</v>
      </c>
      <c r="H38" s="199">
        <f t="shared" si="1"/>
        <v>5</v>
      </c>
      <c r="I38" s="199">
        <f t="shared" si="2"/>
        <v>4</v>
      </c>
    </row>
    <row r="39" spans="2:9">
      <c r="B39" s="199" t="s">
        <v>515</v>
      </c>
      <c r="C39" s="40">
        <f>VLOOKUP($B39,'MAIN DATA, Orders'!$A:$L,4,0)</f>
        <v>44370</v>
      </c>
      <c r="D39" s="199">
        <v>2021</v>
      </c>
      <c r="E39" s="199">
        <f>VLOOKUP($B39,'MAIN DATA, Orders'!$A:$L,11,0)</f>
        <v>2023</v>
      </c>
      <c r="F39" s="199">
        <f>VLOOKUP($B39,'MAIN DATA, Orders'!$A:$L,12,0)</f>
        <v>2027</v>
      </c>
      <c r="G39" s="199">
        <f t="shared" ref="G39:G70" si="12">E39-D39</f>
        <v>2</v>
      </c>
      <c r="H39" s="199">
        <f t="shared" ref="H39:H70" si="13">F39-D39</f>
        <v>6</v>
      </c>
      <c r="I39" s="199">
        <f t="shared" si="2"/>
        <v>4</v>
      </c>
    </row>
    <row r="40" spans="2:9">
      <c r="B40" s="199" t="s">
        <v>523</v>
      </c>
      <c r="C40" s="40">
        <f>VLOOKUP($B40,'MAIN DATA, Orders'!$A:$L,4,0)</f>
        <v>44370</v>
      </c>
      <c r="D40" s="199">
        <v>2021</v>
      </c>
      <c r="E40" s="199">
        <f>VLOOKUP($B40,'MAIN DATA, Orders'!$A:$L,11,0)</f>
        <v>2024</v>
      </c>
      <c r="F40" s="199">
        <f>VLOOKUP($B40,'MAIN DATA, Orders'!$A:$L,12,0)</f>
        <v>2027</v>
      </c>
      <c r="G40" s="199">
        <f t="shared" si="12"/>
        <v>3</v>
      </c>
      <c r="H40" s="199">
        <f t="shared" si="13"/>
        <v>6</v>
      </c>
      <c r="I40" s="199">
        <f t="shared" si="2"/>
        <v>4.5</v>
      </c>
    </row>
    <row r="41" spans="2:9">
      <c r="B41" s="199" t="s">
        <v>539</v>
      </c>
      <c r="C41" s="40">
        <f>VLOOKUP($B41,'MAIN DATA, Orders'!$A:$L,4,0)</f>
        <v>44370</v>
      </c>
      <c r="D41" s="199">
        <v>2021</v>
      </c>
      <c r="E41" s="199">
        <f>VLOOKUP($B41,'MAIN DATA, Orders'!$A:$L,11,0)</f>
        <v>2024</v>
      </c>
      <c r="F41" s="199">
        <f>VLOOKUP($B41,'MAIN DATA, Orders'!$A:$L,12,0)</f>
        <v>2028</v>
      </c>
      <c r="G41" s="199">
        <f t="shared" si="12"/>
        <v>3</v>
      </c>
      <c r="H41" s="199">
        <f t="shared" si="13"/>
        <v>7</v>
      </c>
      <c r="I41" s="199">
        <f t="shared" si="2"/>
        <v>5</v>
      </c>
    </row>
    <row r="42" spans="2:9">
      <c r="B42" s="199" t="s">
        <v>545</v>
      </c>
      <c r="C42" s="40">
        <f>VLOOKUP($B42,'MAIN DATA, Orders'!$A:$L,4,0)</f>
        <v>44370</v>
      </c>
      <c r="D42" s="199">
        <v>2021</v>
      </c>
      <c r="E42" s="199">
        <f>VLOOKUP($B42,'MAIN DATA, Orders'!$A:$L,11,0)</f>
        <v>2023</v>
      </c>
      <c r="F42" s="199">
        <f>VLOOKUP($B42,'MAIN DATA, Orders'!$A:$L,12,0)</f>
        <v>2023</v>
      </c>
      <c r="G42" s="199">
        <f t="shared" si="12"/>
        <v>2</v>
      </c>
      <c r="H42" s="199">
        <f t="shared" si="13"/>
        <v>2</v>
      </c>
      <c r="I42" s="199">
        <f t="shared" si="2"/>
        <v>2</v>
      </c>
    </row>
    <row r="43" spans="2:9">
      <c r="B43" s="199" t="s">
        <v>554</v>
      </c>
      <c r="C43" s="40">
        <f>VLOOKUP($B43,'MAIN DATA, Orders'!$A:$L,4,0)</f>
        <v>44370</v>
      </c>
      <c r="D43" s="199">
        <v>2021</v>
      </c>
      <c r="E43" s="199">
        <f>VLOOKUP($B43,'MAIN DATA, Orders'!$A:$L,11,0)</f>
        <v>2022</v>
      </c>
      <c r="F43" s="199">
        <f>VLOOKUP($B43,'MAIN DATA, Orders'!$A:$L,12,0)</f>
        <v>2025</v>
      </c>
      <c r="G43" s="199">
        <f t="shared" si="12"/>
        <v>1</v>
      </c>
      <c r="H43" s="199">
        <f t="shared" si="13"/>
        <v>4</v>
      </c>
      <c r="I43" s="199">
        <f t="shared" si="2"/>
        <v>2.5</v>
      </c>
    </row>
    <row r="44" spans="2:9">
      <c r="B44" s="199" t="s">
        <v>590</v>
      </c>
      <c r="C44" s="40">
        <f>VLOOKUP($B44,'MAIN DATA, Orders'!$A:$L,4,0)</f>
        <v>44370</v>
      </c>
      <c r="D44" s="199">
        <v>2021</v>
      </c>
      <c r="E44" s="199">
        <f>VLOOKUP($B44,'MAIN DATA, Orders'!$A:$L,11,0)</f>
        <v>2022</v>
      </c>
      <c r="F44" s="199">
        <f>VLOOKUP($B44,'MAIN DATA, Orders'!$A:$L,12,0)</f>
        <v>2026</v>
      </c>
      <c r="G44" s="199">
        <f t="shared" si="12"/>
        <v>1</v>
      </c>
      <c r="H44" s="199">
        <f t="shared" si="13"/>
        <v>5</v>
      </c>
      <c r="I44" s="199">
        <f t="shared" si="2"/>
        <v>3</v>
      </c>
    </row>
    <row r="45" spans="2:9">
      <c r="B45" s="199" t="s">
        <v>637</v>
      </c>
      <c r="C45" s="40">
        <f>VLOOKUP($B45,'MAIN DATA, Orders'!$A:$L,4,0)</f>
        <v>44693</v>
      </c>
      <c r="D45" s="199">
        <v>2022</v>
      </c>
      <c r="E45" s="199">
        <f>VLOOKUP($B45,'MAIN DATA, Orders'!$A:$L,11,0)</f>
        <v>2024</v>
      </c>
      <c r="F45" s="199">
        <f>VLOOKUP($B45,'MAIN DATA, Orders'!$A:$L,12,0)</f>
        <v>2026</v>
      </c>
      <c r="G45" s="199">
        <f t="shared" si="12"/>
        <v>2</v>
      </c>
      <c r="H45" s="199">
        <f t="shared" si="13"/>
        <v>4</v>
      </c>
      <c r="I45" s="199">
        <f t="shared" si="2"/>
        <v>3</v>
      </c>
    </row>
    <row r="46" spans="2:9">
      <c r="B46" s="199" t="s">
        <v>658</v>
      </c>
      <c r="C46" s="40">
        <f>VLOOKUP($B46,'MAIN DATA, Orders'!$A:$L,4,0)</f>
        <v>44710</v>
      </c>
      <c r="D46" s="199">
        <v>2022</v>
      </c>
      <c r="E46" s="199">
        <f>VLOOKUP($B46,'MAIN DATA, Orders'!$A:$L,11,0)</f>
        <v>2024</v>
      </c>
      <c r="F46" s="199">
        <f>VLOOKUP($B46,'MAIN DATA, Orders'!$A:$L,12,0)</f>
        <v>2028</v>
      </c>
      <c r="G46" s="199">
        <f t="shared" si="12"/>
        <v>2</v>
      </c>
      <c r="H46" s="199">
        <f t="shared" si="13"/>
        <v>6</v>
      </c>
      <c r="I46" s="199">
        <f t="shared" si="2"/>
        <v>4</v>
      </c>
    </row>
    <row r="47" spans="2:9">
      <c r="B47" s="199" t="s">
        <v>663</v>
      </c>
      <c r="C47" s="40">
        <f>VLOOKUP($B47,'MAIN DATA, Orders'!$A:$L,4,0)</f>
        <v>44735</v>
      </c>
      <c r="D47" s="199">
        <v>2022</v>
      </c>
      <c r="E47" s="199">
        <f>VLOOKUP($B47,'MAIN DATA, Orders'!$A:$L,11,0)</f>
        <v>2024</v>
      </c>
      <c r="F47" s="199">
        <f>VLOOKUP($B47,'MAIN DATA, Orders'!$A:$L,12,0)</f>
        <v>2025</v>
      </c>
      <c r="G47" s="199">
        <f t="shared" si="12"/>
        <v>2</v>
      </c>
      <c r="H47" s="199">
        <f t="shared" si="13"/>
        <v>3</v>
      </c>
      <c r="I47" s="199">
        <f t="shared" si="2"/>
        <v>2.5</v>
      </c>
    </row>
    <row r="48" spans="2:9">
      <c r="B48" s="199" t="s">
        <v>674</v>
      </c>
      <c r="C48" s="40">
        <f>VLOOKUP($B48,'MAIN DATA, Orders'!$A:$L,4,0)</f>
        <v>44735</v>
      </c>
      <c r="D48" s="199">
        <v>2022</v>
      </c>
      <c r="E48" s="199">
        <f>VLOOKUP($B48,'MAIN DATA, Orders'!$A:$L,11,0)</f>
        <v>2024</v>
      </c>
      <c r="F48" s="199">
        <f>VLOOKUP($B48,'MAIN DATA, Orders'!$A:$L,12,0)</f>
        <v>2026</v>
      </c>
      <c r="G48" s="199">
        <f t="shared" si="12"/>
        <v>2</v>
      </c>
      <c r="H48" s="199">
        <f t="shared" si="13"/>
        <v>4</v>
      </c>
      <c r="I48" s="199">
        <f t="shared" si="2"/>
        <v>3</v>
      </c>
    </row>
    <row r="49" spans="2:9">
      <c r="B49" s="199" t="s">
        <v>680</v>
      </c>
      <c r="C49" s="40">
        <f>VLOOKUP($B49,'MAIN DATA, Orders'!$A:$L,4,0)</f>
        <v>44749</v>
      </c>
      <c r="D49" s="199">
        <v>2022</v>
      </c>
      <c r="E49" s="199">
        <f>VLOOKUP($B49,'MAIN DATA, Orders'!$A:$L,11,0)</f>
        <v>2024</v>
      </c>
      <c r="F49" s="199">
        <f>VLOOKUP($B49,'MAIN DATA, Orders'!$A:$L,12,0)</f>
        <v>2025</v>
      </c>
      <c r="G49" s="199">
        <f t="shared" si="12"/>
        <v>2</v>
      </c>
      <c r="H49" s="199">
        <f t="shared" si="13"/>
        <v>3</v>
      </c>
      <c r="I49" s="199">
        <f t="shared" si="2"/>
        <v>2.5</v>
      </c>
    </row>
    <row r="50" spans="2:9">
      <c r="B50" s="199" t="s">
        <v>693</v>
      </c>
      <c r="C50" s="40">
        <f>VLOOKUP($B50,'MAIN DATA, Orders'!$A:$L,4,0)</f>
        <v>44749</v>
      </c>
      <c r="D50" s="199">
        <v>2022</v>
      </c>
      <c r="E50" s="199">
        <f>VLOOKUP($B50,'MAIN DATA, Orders'!$A:$L,11,0)</f>
        <v>2022</v>
      </c>
      <c r="F50" s="199">
        <f>VLOOKUP($B50,'MAIN DATA, Orders'!$A:$L,12,0)</f>
        <v>2022</v>
      </c>
      <c r="G50" s="199">
        <f t="shared" si="12"/>
        <v>0</v>
      </c>
      <c r="H50" s="199">
        <f t="shared" si="13"/>
        <v>0</v>
      </c>
      <c r="I50" s="199">
        <f t="shared" si="2"/>
        <v>0</v>
      </c>
    </row>
    <row r="51" spans="2:9">
      <c r="B51" s="199" t="s">
        <v>697</v>
      </c>
      <c r="C51" s="40">
        <f>VLOOKUP($B51,'MAIN DATA, Orders'!$A:$L,4,0)</f>
        <v>44825</v>
      </c>
      <c r="D51" s="199">
        <v>2022</v>
      </c>
      <c r="E51" s="199">
        <f>VLOOKUP($B51,'MAIN DATA, Orders'!$A:$L,11,0)</f>
        <v>2024</v>
      </c>
      <c r="F51" s="199">
        <f>VLOOKUP($B51,'MAIN DATA, Orders'!$A:$L,12,0)</f>
        <v>2029</v>
      </c>
      <c r="G51" s="199">
        <f t="shared" si="12"/>
        <v>2</v>
      </c>
      <c r="H51" s="199">
        <f t="shared" si="13"/>
        <v>7</v>
      </c>
      <c r="I51" s="199">
        <f t="shared" si="2"/>
        <v>4.5</v>
      </c>
    </row>
    <row r="52" spans="2:9">
      <c r="B52" s="199" t="s">
        <v>707</v>
      </c>
      <c r="C52" s="40">
        <f>VLOOKUP($B52,'MAIN DATA, Orders'!$A:$L,4,0)</f>
        <v>44825</v>
      </c>
      <c r="D52" s="199">
        <v>2022</v>
      </c>
      <c r="E52" s="199">
        <f>VLOOKUP($B52,'MAIN DATA, Orders'!$A:$L,11,0)</f>
        <v>2024</v>
      </c>
      <c r="F52" s="199">
        <f>VLOOKUP($B52,'MAIN DATA, Orders'!$A:$L,12,0)</f>
        <v>2029</v>
      </c>
      <c r="G52" s="199">
        <f t="shared" si="12"/>
        <v>2</v>
      </c>
      <c r="H52" s="199">
        <f t="shared" si="13"/>
        <v>7</v>
      </c>
      <c r="I52" s="199">
        <f t="shared" si="2"/>
        <v>4.5</v>
      </c>
    </row>
    <row r="53" spans="2:9">
      <c r="B53" s="199" t="s">
        <v>709</v>
      </c>
      <c r="C53" s="40">
        <f>VLOOKUP($B53,'MAIN DATA, Orders'!$A:$L,4,0)</f>
        <v>44854</v>
      </c>
      <c r="D53" s="199">
        <v>2022</v>
      </c>
      <c r="E53" s="199">
        <f>VLOOKUP($B53,'MAIN DATA, Orders'!$A:$L,11,0)</f>
        <v>2022</v>
      </c>
      <c r="F53" s="199">
        <f>VLOOKUP($B53,'MAIN DATA, Orders'!$A:$L,12,0)</f>
        <v>2022</v>
      </c>
      <c r="G53" s="199">
        <f t="shared" si="12"/>
        <v>0</v>
      </c>
      <c r="H53" s="199">
        <f t="shared" si="13"/>
        <v>0</v>
      </c>
      <c r="I53" s="199">
        <f t="shared" si="2"/>
        <v>0</v>
      </c>
    </row>
    <row r="54" spans="2:9">
      <c r="B54" s="199" t="s">
        <v>713</v>
      </c>
      <c r="C54" s="40">
        <f>VLOOKUP($B54,'MAIN DATA, Orders'!$A:$L,4,0)</f>
        <v>44854</v>
      </c>
      <c r="D54" s="199">
        <v>2022</v>
      </c>
      <c r="E54" s="199">
        <f>VLOOKUP($B54,'MAIN DATA, Orders'!$A:$L,11,0)</f>
        <v>2022</v>
      </c>
      <c r="F54" s="199">
        <f>VLOOKUP($B54,'MAIN DATA, Orders'!$A:$L,12,0)</f>
        <v>2027</v>
      </c>
      <c r="G54" s="199">
        <f t="shared" si="12"/>
        <v>0</v>
      </c>
      <c r="H54" s="199">
        <f t="shared" si="13"/>
        <v>5</v>
      </c>
      <c r="I54" s="199">
        <f t="shared" si="2"/>
        <v>2.5</v>
      </c>
    </row>
    <row r="55" spans="2:9">
      <c r="B55" s="199" t="s">
        <v>725</v>
      </c>
      <c r="C55" s="40">
        <f>VLOOKUP($B55,'MAIN DATA, Orders'!$A:$L,4,0)</f>
        <v>44895</v>
      </c>
      <c r="D55" s="199">
        <v>2022</v>
      </c>
      <c r="E55" s="199">
        <f>VLOOKUP($B55,'MAIN DATA, Orders'!$A:$L,11,0)</f>
        <v>2022</v>
      </c>
      <c r="F55" s="199">
        <f>VLOOKUP($B55,'MAIN DATA, Orders'!$A:$L,12,0)</f>
        <v>2030</v>
      </c>
      <c r="G55" s="199">
        <f t="shared" si="12"/>
        <v>0</v>
      </c>
      <c r="H55" s="199">
        <f t="shared" si="13"/>
        <v>8</v>
      </c>
      <c r="I55" s="199">
        <f t="shared" si="2"/>
        <v>4</v>
      </c>
    </row>
    <row r="56" spans="2:9">
      <c r="B56" s="199" t="s">
        <v>734</v>
      </c>
      <c r="C56" s="40">
        <f>VLOOKUP($B56,'MAIN DATA, Orders'!$A:$L,4,0)</f>
        <v>44895</v>
      </c>
      <c r="D56" s="199">
        <v>2022</v>
      </c>
      <c r="E56" s="199">
        <f>VLOOKUP($B56,'MAIN DATA, Orders'!$A:$L,11,0)</f>
        <v>2023</v>
      </c>
      <c r="F56" s="199">
        <f>VLOOKUP($B56,'MAIN DATA, Orders'!$A:$L,12,0)</f>
        <v>2027</v>
      </c>
      <c r="G56" s="199">
        <f t="shared" si="12"/>
        <v>1</v>
      </c>
      <c r="H56" s="199">
        <f t="shared" si="13"/>
        <v>5</v>
      </c>
      <c r="I56" s="199">
        <f t="shared" si="2"/>
        <v>3</v>
      </c>
    </row>
    <row r="57" spans="2:9">
      <c r="B57" s="199" t="s">
        <v>750</v>
      </c>
      <c r="C57" s="40">
        <f>VLOOKUP($B57,'MAIN DATA, Orders'!$A:$L,4,0)</f>
        <v>44909</v>
      </c>
      <c r="D57" s="199">
        <v>2022</v>
      </c>
      <c r="E57" s="199">
        <f>VLOOKUP($B57,'MAIN DATA, Orders'!$A:$L,11,0)</f>
        <v>2025</v>
      </c>
      <c r="F57" s="199">
        <f>VLOOKUP($B57,'MAIN DATA, Orders'!$A:$L,12,0)</f>
        <v>2028</v>
      </c>
      <c r="G57" s="199">
        <f t="shared" si="12"/>
        <v>3</v>
      </c>
      <c r="H57" s="199">
        <f t="shared" si="13"/>
        <v>6</v>
      </c>
      <c r="I57" s="199">
        <f t="shared" si="2"/>
        <v>4.5</v>
      </c>
    </row>
    <row r="58" spans="2:9">
      <c r="B58" s="199" t="s">
        <v>761</v>
      </c>
      <c r="C58" s="40">
        <f>VLOOKUP($B58,'MAIN DATA, Orders'!$A:$L,4,0)</f>
        <v>44909</v>
      </c>
      <c r="D58" s="199">
        <v>2022</v>
      </c>
      <c r="E58" s="199">
        <f>VLOOKUP($B58,'MAIN DATA, Orders'!$A:$L,11,0)</f>
        <v>2023</v>
      </c>
      <c r="F58" s="199">
        <f>VLOOKUP($B58,'MAIN DATA, Orders'!$A:$L,12,0)</f>
        <v>2025</v>
      </c>
      <c r="G58" s="199">
        <f t="shared" si="12"/>
        <v>1</v>
      </c>
      <c r="H58" s="199">
        <f t="shared" si="13"/>
        <v>3</v>
      </c>
      <c r="I58" s="199">
        <f t="shared" si="2"/>
        <v>2</v>
      </c>
    </row>
    <row r="59" spans="2:9">
      <c r="B59" s="199" t="s">
        <v>766</v>
      </c>
      <c r="C59" s="40">
        <f>VLOOKUP($B59,'MAIN DATA, Orders'!$A:$L,4,0)</f>
        <v>44909</v>
      </c>
      <c r="D59" s="199">
        <v>2022</v>
      </c>
      <c r="E59" s="199">
        <f>VLOOKUP($B59,'MAIN DATA, Orders'!$A:$L,11,0)</f>
        <v>2023</v>
      </c>
      <c r="F59" s="199">
        <f>VLOOKUP($B59,'MAIN DATA, Orders'!$A:$L,12,0)</f>
        <v>2023</v>
      </c>
      <c r="G59" s="199">
        <f t="shared" si="12"/>
        <v>1</v>
      </c>
      <c r="H59" s="199">
        <f t="shared" si="13"/>
        <v>1</v>
      </c>
      <c r="I59" s="199">
        <f t="shared" si="2"/>
        <v>1</v>
      </c>
    </row>
    <row r="60" spans="2:9">
      <c r="B60" s="199" t="s">
        <v>770</v>
      </c>
      <c r="C60" s="40">
        <f>VLOOKUP($B60,'MAIN DATA, Orders'!$A:$L,4,0)</f>
        <v>44909</v>
      </c>
      <c r="D60" s="199">
        <v>2022</v>
      </c>
      <c r="E60" s="199">
        <f>VLOOKUP($B60,'MAIN DATA, Orders'!$A:$L,11,0)</f>
        <v>2026</v>
      </c>
      <c r="F60" s="199">
        <f>VLOOKUP($B60,'MAIN DATA, Orders'!$A:$L,12,0)</f>
        <v>2029</v>
      </c>
      <c r="G60" s="199">
        <f t="shared" si="12"/>
        <v>4</v>
      </c>
      <c r="H60" s="199">
        <f t="shared" si="13"/>
        <v>7</v>
      </c>
      <c r="I60" s="199">
        <f t="shared" si="2"/>
        <v>5.5</v>
      </c>
    </row>
    <row r="61" spans="2:9">
      <c r="B61" s="199" t="s">
        <v>777</v>
      </c>
      <c r="C61" s="40">
        <f>VLOOKUP($B61,'MAIN DATA, Orders'!$A:$L,4,0)</f>
        <v>44965</v>
      </c>
      <c r="D61" s="199">
        <v>2023</v>
      </c>
      <c r="E61" s="199">
        <f>VLOOKUP($B61,'MAIN DATA, Orders'!$A:$L,11,0)</f>
        <v>2024</v>
      </c>
      <c r="F61" s="199">
        <f>VLOOKUP($B61,'MAIN DATA, Orders'!$A:$L,12,0)</f>
        <v>2028</v>
      </c>
      <c r="G61" s="199">
        <f t="shared" si="12"/>
        <v>1</v>
      </c>
      <c r="H61" s="199">
        <f t="shared" si="13"/>
        <v>5</v>
      </c>
      <c r="I61" s="199">
        <f t="shared" si="2"/>
        <v>3</v>
      </c>
    </row>
    <row r="62" spans="2:9">
      <c r="B62" s="199" t="s">
        <v>782</v>
      </c>
      <c r="C62" s="40">
        <f>VLOOKUP($B62,'MAIN DATA, Orders'!$A:$L,4,0)</f>
        <v>44972</v>
      </c>
      <c r="D62" s="199">
        <v>2023</v>
      </c>
      <c r="E62" s="199">
        <f>VLOOKUP($B62,'MAIN DATA, Orders'!$A:$L,11,0)</f>
        <v>2023</v>
      </c>
      <c r="F62" s="199">
        <f>VLOOKUP($B62,'MAIN DATA, Orders'!$A:$L,12,0)</f>
        <v>2023</v>
      </c>
      <c r="G62" s="199">
        <f t="shared" si="12"/>
        <v>0</v>
      </c>
      <c r="H62" s="199">
        <f t="shared" si="13"/>
        <v>0</v>
      </c>
      <c r="I62" s="199">
        <f t="shared" si="2"/>
        <v>0</v>
      </c>
    </row>
    <row r="63" spans="2:9">
      <c r="B63" s="199" t="s">
        <v>796</v>
      </c>
      <c r="C63" s="40">
        <f>VLOOKUP($B63,'MAIN DATA, Orders'!$A:$L,4,0)</f>
        <v>44987</v>
      </c>
      <c r="D63" s="199">
        <v>2023</v>
      </c>
      <c r="E63" s="199">
        <f>VLOOKUP($B63,'MAIN DATA, Orders'!$A:$L,11,0)</f>
        <v>2023</v>
      </c>
      <c r="F63" s="199">
        <f>VLOOKUP($B63,'MAIN DATA, Orders'!$A:$L,12,0)</f>
        <v>2024</v>
      </c>
      <c r="G63" s="199">
        <f t="shared" si="12"/>
        <v>0</v>
      </c>
      <c r="H63" s="199">
        <f t="shared" si="13"/>
        <v>1</v>
      </c>
      <c r="I63" s="199">
        <f t="shared" si="2"/>
        <v>0.5</v>
      </c>
    </row>
    <row r="64" spans="2:9">
      <c r="B64" s="199" t="s">
        <v>798</v>
      </c>
      <c r="C64" s="40">
        <f>VLOOKUP($B64,'MAIN DATA, Orders'!$A:$L,4,0)</f>
        <v>44987</v>
      </c>
      <c r="D64" s="199">
        <v>2023</v>
      </c>
      <c r="E64" s="199">
        <f>VLOOKUP($B64,'MAIN DATA, Orders'!$A:$L,11,0)</f>
        <v>2023</v>
      </c>
      <c r="F64" s="199">
        <f>VLOOKUP($B64,'MAIN DATA, Orders'!$A:$L,12,0)</f>
        <v>2024</v>
      </c>
      <c r="G64" s="199">
        <f t="shared" si="12"/>
        <v>0</v>
      </c>
      <c r="H64" s="199">
        <f t="shared" si="13"/>
        <v>1</v>
      </c>
      <c r="I64" s="199">
        <f t="shared" si="2"/>
        <v>0.5</v>
      </c>
    </row>
    <row r="65" spans="2:9">
      <c r="B65" s="199" t="s">
        <v>800</v>
      </c>
      <c r="C65" s="40">
        <f>VLOOKUP($B65,'MAIN DATA, Orders'!$A:$L,4,0)</f>
        <v>45001</v>
      </c>
      <c r="D65" s="199">
        <v>2023</v>
      </c>
      <c r="E65" s="199">
        <f>VLOOKUP($B65,'MAIN DATA, Orders'!$A:$L,11,0)</f>
        <v>2025</v>
      </c>
      <c r="F65" s="199">
        <f>VLOOKUP($B65,'MAIN DATA, Orders'!$A:$L,12,0)</f>
        <v>2027</v>
      </c>
      <c r="G65" s="199">
        <f t="shared" si="12"/>
        <v>2</v>
      </c>
      <c r="H65" s="199">
        <f t="shared" si="13"/>
        <v>4</v>
      </c>
      <c r="I65" s="199">
        <f t="shared" si="2"/>
        <v>3</v>
      </c>
    </row>
    <row r="66" spans="2:9">
      <c r="B66" s="199" t="s">
        <v>810</v>
      </c>
      <c r="C66" s="40">
        <f>VLOOKUP($B66,'MAIN DATA, Orders'!$A:$L,4,0)</f>
        <v>45014</v>
      </c>
      <c r="D66" s="199">
        <v>2023</v>
      </c>
      <c r="E66" s="199">
        <f>VLOOKUP($B66,'MAIN DATA, Orders'!$A:$L,11,0)</f>
        <v>2025</v>
      </c>
      <c r="F66" s="199">
        <f>VLOOKUP($B66,'MAIN DATA, Orders'!$A:$L,12,0)</f>
        <v>2026</v>
      </c>
      <c r="G66" s="199">
        <f t="shared" si="12"/>
        <v>2</v>
      </c>
      <c r="H66" s="199">
        <f t="shared" si="13"/>
        <v>3</v>
      </c>
      <c r="I66" s="199">
        <f t="shared" si="2"/>
        <v>2.5</v>
      </c>
    </row>
    <row r="67" spans="2:9">
      <c r="B67" s="199" t="s">
        <v>823</v>
      </c>
      <c r="C67" s="40">
        <f>VLOOKUP($B67,'MAIN DATA, Orders'!$A:$L,4,0)</f>
        <v>45014</v>
      </c>
      <c r="D67" s="199">
        <v>2023</v>
      </c>
      <c r="E67" s="199">
        <f>VLOOKUP($B67,'MAIN DATA, Orders'!$A:$L,11,0)</f>
        <v>2025</v>
      </c>
      <c r="F67" s="199">
        <f>VLOOKUP($B67,'MAIN DATA, Orders'!$A:$L,12,0)</f>
        <v>2030</v>
      </c>
      <c r="G67" s="199">
        <f t="shared" si="12"/>
        <v>2</v>
      </c>
      <c r="H67" s="199">
        <f t="shared" si="13"/>
        <v>7</v>
      </c>
      <c r="I67" s="199">
        <f t="shared" si="2"/>
        <v>4.5</v>
      </c>
    </row>
    <row r="68" spans="2:9">
      <c r="B68" s="199" t="s">
        <v>880</v>
      </c>
      <c r="C68" s="40">
        <f>VLOOKUP($B68,'MAIN DATA, Orders'!$A:$L,4,0)</f>
        <v>45035</v>
      </c>
      <c r="D68" s="199">
        <v>2023</v>
      </c>
      <c r="E68" s="199">
        <f>VLOOKUP($B68,'MAIN DATA, Orders'!$A:$L,11,0)</f>
        <v>2023</v>
      </c>
      <c r="F68" s="199">
        <f>VLOOKUP($B68,'MAIN DATA, Orders'!$A:$L,12,0)</f>
        <v>2024</v>
      </c>
      <c r="G68" s="199">
        <f t="shared" si="12"/>
        <v>0</v>
      </c>
      <c r="H68" s="199">
        <f t="shared" si="13"/>
        <v>1</v>
      </c>
      <c r="I68" s="199">
        <f t="shared" si="2"/>
        <v>0.5</v>
      </c>
    </row>
    <row r="69" spans="2:9">
      <c r="B69" s="199" t="s">
        <v>886</v>
      </c>
      <c r="C69" s="40">
        <f>VLOOKUP($B69,'MAIN DATA, Orders'!$A:$L,4,0)</f>
        <v>45057</v>
      </c>
      <c r="D69" s="199">
        <v>2023</v>
      </c>
      <c r="E69" s="199">
        <f>VLOOKUP($B69,'MAIN DATA, Orders'!$A:$L,11,0)</f>
        <v>2025</v>
      </c>
      <c r="F69" s="199">
        <f>VLOOKUP($B69,'MAIN DATA, Orders'!$A:$L,12,0)</f>
        <v>2027</v>
      </c>
      <c r="G69" s="199">
        <f t="shared" si="12"/>
        <v>2</v>
      </c>
      <c r="H69" s="199">
        <f t="shared" si="13"/>
        <v>4</v>
      </c>
      <c r="I69" s="199">
        <f t="shared" si="2"/>
        <v>3</v>
      </c>
    </row>
    <row r="70" spans="2:9">
      <c r="B70" s="199" t="s">
        <v>893</v>
      </c>
      <c r="C70" s="40">
        <f>VLOOKUP($B70,'MAIN DATA, Orders'!$A:$L,4,0)</f>
        <v>45057</v>
      </c>
      <c r="D70" s="199">
        <v>2023</v>
      </c>
      <c r="E70" s="199">
        <f>VLOOKUP($B70,'MAIN DATA, Orders'!$A:$L,11,0)</f>
        <v>2025</v>
      </c>
      <c r="F70" s="199">
        <f>VLOOKUP($B70,'MAIN DATA, Orders'!$A:$L,12,0)</f>
        <v>2027</v>
      </c>
      <c r="G70" s="199">
        <f t="shared" si="12"/>
        <v>2</v>
      </c>
      <c r="H70" s="199">
        <f t="shared" si="13"/>
        <v>4</v>
      </c>
      <c r="I70" s="199">
        <f t="shared" si="2"/>
        <v>3</v>
      </c>
    </row>
    <row r="71" spans="2:9">
      <c r="B71" s="199" t="s">
        <v>896</v>
      </c>
      <c r="C71" s="40">
        <f>VLOOKUP($B71,'MAIN DATA, Orders'!$A:$L,4,0)</f>
        <v>45070</v>
      </c>
      <c r="D71" s="199">
        <v>2023</v>
      </c>
      <c r="E71" s="199">
        <f>VLOOKUP($B71,'MAIN DATA, Orders'!$A:$L,11,0)</f>
        <v>2025</v>
      </c>
      <c r="F71" s="199">
        <f>VLOOKUP($B71,'MAIN DATA, Orders'!$A:$L,12,0)</f>
        <v>2026</v>
      </c>
      <c r="G71" s="199">
        <f t="shared" ref="G71:G102" si="14">E71-D71</f>
        <v>2</v>
      </c>
      <c r="H71" s="199">
        <f t="shared" ref="H71:H102" si="15">F71-D71</f>
        <v>3</v>
      </c>
      <c r="I71" s="199">
        <f t="shared" si="2"/>
        <v>2.5</v>
      </c>
    </row>
    <row r="72" spans="2:9">
      <c r="B72" s="199" t="s">
        <v>903</v>
      </c>
      <c r="C72" s="40">
        <f>VLOOKUP($B72,'MAIN DATA, Orders'!$A:$L,4,0)</f>
        <v>45070</v>
      </c>
      <c r="D72" s="199">
        <v>2023</v>
      </c>
      <c r="E72" s="199">
        <f>VLOOKUP($B72,'MAIN DATA, Orders'!$A:$L,11,0)</f>
        <v>2026</v>
      </c>
      <c r="F72" s="199">
        <f>VLOOKUP($B72,'MAIN DATA, Orders'!$A:$L,12,0)</f>
        <v>2026</v>
      </c>
      <c r="G72" s="199">
        <f t="shared" si="14"/>
        <v>3</v>
      </c>
      <c r="H72" s="199">
        <f t="shared" si="15"/>
        <v>3</v>
      </c>
      <c r="I72" s="199">
        <f t="shared" si="2"/>
        <v>3</v>
      </c>
    </row>
    <row r="73" spans="2:9">
      <c r="B73" s="199" t="s">
        <v>929</v>
      </c>
      <c r="C73" s="40">
        <f>VLOOKUP($B73,'MAIN DATA, Orders'!$A:$L,4,0)</f>
        <v>45091</v>
      </c>
      <c r="D73" s="199">
        <v>2023</v>
      </c>
      <c r="E73" s="199">
        <f>VLOOKUP($B73,'MAIN DATA, Orders'!$A:$L,11,0)</f>
        <v>2023</v>
      </c>
      <c r="F73" s="199">
        <f>VLOOKUP($B73,'MAIN DATA, Orders'!$A:$L,12,0)</f>
        <v>2025</v>
      </c>
      <c r="G73" s="199">
        <f t="shared" si="14"/>
        <v>0</v>
      </c>
      <c r="H73" s="199">
        <f t="shared" si="15"/>
        <v>2</v>
      </c>
      <c r="I73" s="199">
        <f t="shared" ref="I73:I106" si="16">AVERAGE(G73:H73)</f>
        <v>1</v>
      </c>
    </row>
    <row r="74" spans="2:9">
      <c r="B74" s="199" t="s">
        <v>936</v>
      </c>
      <c r="C74" s="40">
        <f>VLOOKUP($B74,'MAIN DATA, Orders'!$A:$L,4,0)</f>
        <v>45112</v>
      </c>
      <c r="D74" s="199">
        <v>2023</v>
      </c>
      <c r="E74" s="199">
        <f>VLOOKUP($B74,'MAIN DATA, Orders'!$A:$L,11,0)</f>
        <v>2027</v>
      </c>
      <c r="F74" s="199">
        <f>VLOOKUP($B74,'MAIN DATA, Orders'!$A:$L,12,0)</f>
        <v>2033</v>
      </c>
      <c r="G74" s="199">
        <f t="shared" si="14"/>
        <v>4</v>
      </c>
      <c r="H74" s="199">
        <f t="shared" si="15"/>
        <v>10</v>
      </c>
      <c r="I74" s="199">
        <f t="shared" si="16"/>
        <v>7</v>
      </c>
    </row>
    <row r="75" spans="2:9">
      <c r="B75" s="199" t="s">
        <v>941</v>
      </c>
      <c r="C75" s="40">
        <f>VLOOKUP($B75,'MAIN DATA, Orders'!$A:$L,4,0)</f>
        <v>45112</v>
      </c>
      <c r="D75" s="199">
        <v>2023</v>
      </c>
      <c r="E75" s="199">
        <f>VLOOKUP($B75,'MAIN DATA, Orders'!$A:$L,11,0)</f>
        <v>2029</v>
      </c>
      <c r="F75" s="199">
        <f>VLOOKUP($B75,'MAIN DATA, Orders'!$A:$L,12,0)</f>
        <v>2031</v>
      </c>
      <c r="G75" s="199">
        <f t="shared" si="14"/>
        <v>6</v>
      </c>
      <c r="H75" s="199">
        <f t="shared" si="15"/>
        <v>8</v>
      </c>
      <c r="I75" s="199">
        <f t="shared" si="16"/>
        <v>7</v>
      </c>
    </row>
    <row r="76" spans="2:9">
      <c r="B76" s="199" t="s">
        <v>970</v>
      </c>
      <c r="C76" s="40">
        <f>VLOOKUP($B76,'MAIN DATA, Orders'!$A:$L,4,0)</f>
        <v>45112</v>
      </c>
      <c r="D76" s="199">
        <v>2023</v>
      </c>
      <c r="E76" s="199">
        <f>VLOOKUP($B76,'MAIN DATA, Orders'!$A:$L,11,0)</f>
        <v>2023</v>
      </c>
      <c r="F76" s="199">
        <f>VLOOKUP($B76,'MAIN DATA, Orders'!$A:$L,12,0)</f>
        <v>2025</v>
      </c>
      <c r="G76" s="199">
        <f t="shared" si="14"/>
        <v>0</v>
      </c>
      <c r="H76" s="199">
        <f t="shared" si="15"/>
        <v>2</v>
      </c>
      <c r="I76" s="199">
        <f t="shared" si="16"/>
        <v>1</v>
      </c>
    </row>
    <row r="77" spans="2:9">
      <c r="B77" s="199" t="s">
        <v>1003</v>
      </c>
      <c r="C77" s="40">
        <f>VLOOKUP($B77,'MAIN DATA, Orders'!$A:$L,4,0)</f>
        <v>45189</v>
      </c>
      <c r="D77" s="199">
        <v>2023</v>
      </c>
      <c r="E77" s="199">
        <f>VLOOKUP($B77,'MAIN DATA, Orders'!$A:$L,11,0)</f>
        <v>2025</v>
      </c>
      <c r="F77" s="199">
        <f>VLOOKUP($B77,'MAIN DATA, Orders'!$A:$L,12,0)</f>
        <v>2028</v>
      </c>
      <c r="G77" s="199">
        <f t="shared" si="14"/>
        <v>2</v>
      </c>
      <c r="H77" s="199">
        <f t="shared" si="15"/>
        <v>5</v>
      </c>
      <c r="I77" s="199">
        <f t="shared" si="16"/>
        <v>3.5</v>
      </c>
    </row>
    <row r="78" spans="2:9">
      <c r="B78" s="199" t="s">
        <v>1009</v>
      </c>
      <c r="C78" s="40">
        <f>VLOOKUP($B78,'MAIN DATA, Orders'!$A:$L,4,0)</f>
        <v>45218</v>
      </c>
      <c r="D78" s="199">
        <v>2023</v>
      </c>
      <c r="E78" s="199">
        <f>VLOOKUP($B78,'MAIN DATA, Orders'!$A:$L,11,0)</f>
        <v>2025</v>
      </c>
      <c r="F78" s="199">
        <f>VLOOKUP($B78,'MAIN DATA, Orders'!$A:$L,12,0)</f>
        <v>2030</v>
      </c>
      <c r="G78" s="199">
        <f t="shared" si="14"/>
        <v>2</v>
      </c>
      <c r="H78" s="199">
        <f t="shared" si="15"/>
        <v>7</v>
      </c>
      <c r="I78" s="199">
        <f t="shared" si="16"/>
        <v>4.5</v>
      </c>
    </row>
    <row r="79" spans="2:9">
      <c r="B79" s="199" t="s">
        <v>1016</v>
      </c>
      <c r="C79" s="40">
        <f>VLOOKUP($B79,'MAIN DATA, Orders'!$A:$L,4,0)</f>
        <v>45218</v>
      </c>
      <c r="D79" s="199">
        <v>2023</v>
      </c>
      <c r="E79" s="199">
        <f>VLOOKUP($B79,'MAIN DATA, Orders'!$A:$L,11,0)</f>
        <v>2024</v>
      </c>
      <c r="F79" s="199">
        <f>VLOOKUP($B79,'MAIN DATA, Orders'!$A:$L,12,0)</f>
        <v>2025</v>
      </c>
      <c r="G79" s="199">
        <f t="shared" si="14"/>
        <v>1</v>
      </c>
      <c r="H79" s="199">
        <f t="shared" si="15"/>
        <v>2</v>
      </c>
      <c r="I79" s="199">
        <f t="shared" si="16"/>
        <v>1.5</v>
      </c>
    </row>
    <row r="80" spans="2:9">
      <c r="B80" s="199" t="s">
        <v>1026</v>
      </c>
      <c r="C80" s="40">
        <f>VLOOKUP($B80,'MAIN DATA, Orders'!$A:$L,4,0)</f>
        <v>45218</v>
      </c>
      <c r="D80" s="199">
        <v>2023</v>
      </c>
      <c r="E80" s="199">
        <f>VLOOKUP($B80,'MAIN DATA, Orders'!$A:$L,11,0)</f>
        <v>2023</v>
      </c>
      <c r="F80" s="199">
        <f>VLOOKUP($B80,'MAIN DATA, Orders'!$A:$L,12,0)</f>
        <v>2025</v>
      </c>
      <c r="G80" s="199">
        <f t="shared" si="14"/>
        <v>0</v>
      </c>
      <c r="H80" s="199">
        <f t="shared" si="15"/>
        <v>2</v>
      </c>
      <c r="I80" s="199">
        <f t="shared" si="16"/>
        <v>1</v>
      </c>
    </row>
    <row r="81" spans="2:9">
      <c r="B81" s="199" t="s">
        <v>1028</v>
      </c>
      <c r="C81" s="40">
        <f>VLOOKUP($B81,'MAIN DATA, Orders'!$A:$L,4,0)</f>
        <v>45218</v>
      </c>
      <c r="D81" s="199">
        <v>2023</v>
      </c>
      <c r="E81" s="199">
        <f>VLOOKUP($B81,'MAIN DATA, Orders'!$A:$L,11,0)</f>
        <v>2024</v>
      </c>
      <c r="F81" s="199">
        <f>VLOOKUP($B81,'MAIN DATA, Orders'!$A:$L,12,0)</f>
        <v>2026</v>
      </c>
      <c r="G81" s="199">
        <f t="shared" si="14"/>
        <v>1</v>
      </c>
      <c r="H81" s="199">
        <f t="shared" si="15"/>
        <v>3</v>
      </c>
      <c r="I81" s="199">
        <f t="shared" si="16"/>
        <v>2</v>
      </c>
    </row>
    <row r="82" spans="2:9">
      <c r="B82" s="199" t="s">
        <v>1031</v>
      </c>
      <c r="C82" s="40">
        <f>VLOOKUP($B82,'MAIN DATA, Orders'!$A:$L,4,0)</f>
        <v>45218</v>
      </c>
      <c r="D82" s="199">
        <v>2023</v>
      </c>
      <c r="E82" s="199">
        <f>VLOOKUP($B82,'MAIN DATA, Orders'!$A:$L,11,0)</f>
        <v>2025</v>
      </c>
      <c r="F82" s="199">
        <f>VLOOKUP($B82,'MAIN DATA, Orders'!$A:$L,12,0)</f>
        <v>2027</v>
      </c>
      <c r="G82" s="199">
        <f t="shared" si="14"/>
        <v>2</v>
      </c>
      <c r="H82" s="199">
        <f t="shared" si="15"/>
        <v>4</v>
      </c>
      <c r="I82" s="199">
        <f t="shared" si="16"/>
        <v>3</v>
      </c>
    </row>
    <row r="83" spans="2:9">
      <c r="B83" s="199" t="s">
        <v>1034</v>
      </c>
      <c r="C83" s="40">
        <f>VLOOKUP($B83,'MAIN DATA, Orders'!$A:$L,4,0)</f>
        <v>45218</v>
      </c>
      <c r="D83" s="199">
        <v>2023</v>
      </c>
      <c r="E83" s="199">
        <f>VLOOKUP($B83,'MAIN DATA, Orders'!$A:$L,11,0)</f>
        <v>2025</v>
      </c>
      <c r="F83" s="199">
        <f>VLOOKUP($B83,'MAIN DATA, Orders'!$A:$L,12,0)</f>
        <v>2028</v>
      </c>
      <c r="G83" s="199">
        <f t="shared" si="14"/>
        <v>2</v>
      </c>
      <c r="H83" s="199">
        <f t="shared" si="15"/>
        <v>5</v>
      </c>
      <c r="I83" s="199">
        <f t="shared" si="16"/>
        <v>3.5</v>
      </c>
    </row>
    <row r="84" spans="2:9">
      <c r="B84" s="199" t="s">
        <v>1043</v>
      </c>
      <c r="C84" s="40">
        <f>VLOOKUP($B84,'MAIN DATA, Orders'!$A:$L,4,0)</f>
        <v>45238</v>
      </c>
      <c r="D84" s="199">
        <v>2023</v>
      </c>
      <c r="E84" s="199">
        <f>VLOOKUP($B84,'MAIN DATA, Orders'!$A:$L,11,0)</f>
        <v>2024</v>
      </c>
      <c r="F84" s="199">
        <f>VLOOKUP($B84,'MAIN DATA, Orders'!$A:$L,12,0)</f>
        <v>2034</v>
      </c>
      <c r="G84" s="199">
        <f t="shared" si="14"/>
        <v>1</v>
      </c>
      <c r="H84" s="199">
        <f t="shared" si="15"/>
        <v>11</v>
      </c>
      <c r="I84" s="199">
        <f t="shared" si="16"/>
        <v>6</v>
      </c>
    </row>
    <row r="85" spans="2:9">
      <c r="B85" s="199" t="s">
        <v>1059</v>
      </c>
      <c r="C85" s="40">
        <f>VLOOKUP($B85,'MAIN DATA, Orders'!$A:$L,4,0)</f>
        <v>45260</v>
      </c>
      <c r="D85" s="199">
        <v>2023</v>
      </c>
      <c r="E85" s="199">
        <f>VLOOKUP($B85,'MAIN DATA, Orders'!$A:$L,11,0)</f>
        <v>2024</v>
      </c>
      <c r="F85" s="199">
        <f>VLOOKUP($B85,'MAIN DATA, Orders'!$A:$L,12,0)</f>
        <v>2029</v>
      </c>
      <c r="G85" s="199">
        <f t="shared" si="14"/>
        <v>1</v>
      </c>
      <c r="H85" s="199">
        <f t="shared" si="15"/>
        <v>6</v>
      </c>
      <c r="I85" s="199">
        <f t="shared" si="16"/>
        <v>3.5</v>
      </c>
    </row>
    <row r="86" spans="2:9">
      <c r="B86" s="199" t="s">
        <v>1071</v>
      </c>
      <c r="C86" s="40">
        <f>VLOOKUP($B86,'MAIN DATA, Orders'!$A:$L,4,0)</f>
        <v>45260</v>
      </c>
      <c r="D86" s="199">
        <v>2023</v>
      </c>
      <c r="E86" s="199">
        <f>VLOOKUP($B86,'MAIN DATA, Orders'!$A:$L,11,0)</f>
        <v>2026</v>
      </c>
      <c r="F86" s="199">
        <f>VLOOKUP($B86,'MAIN DATA, Orders'!$A:$L,12,0)</f>
        <v>2029</v>
      </c>
      <c r="G86" s="199">
        <f t="shared" si="14"/>
        <v>3</v>
      </c>
      <c r="H86" s="199">
        <f t="shared" si="15"/>
        <v>6</v>
      </c>
      <c r="I86" s="199">
        <f t="shared" si="16"/>
        <v>4.5</v>
      </c>
    </row>
    <row r="87" spans="2:9">
      <c r="B87" s="199" t="s">
        <v>1073</v>
      </c>
      <c r="C87" s="40">
        <f>VLOOKUP($B87,'MAIN DATA, Orders'!$A:$L,4,0)</f>
        <v>45260</v>
      </c>
      <c r="D87" s="199">
        <v>2023</v>
      </c>
      <c r="E87" s="199">
        <f>VLOOKUP($B87,'MAIN DATA, Orders'!$A:$L,11,0)</f>
        <v>2026</v>
      </c>
      <c r="F87" s="199">
        <f>VLOOKUP($B87,'MAIN DATA, Orders'!$A:$L,12,0)</f>
        <v>2029</v>
      </c>
      <c r="G87" s="199">
        <f t="shared" si="14"/>
        <v>3</v>
      </c>
      <c r="H87" s="199">
        <f t="shared" si="15"/>
        <v>6</v>
      </c>
      <c r="I87" s="199">
        <f t="shared" si="16"/>
        <v>4.5</v>
      </c>
    </row>
    <row r="88" spans="2:9">
      <c r="B88" s="199" t="s">
        <v>1083</v>
      </c>
      <c r="C88" s="40">
        <f>VLOOKUP($B88,'MAIN DATA, Orders'!$A:$L,4,0)</f>
        <v>45274</v>
      </c>
      <c r="D88" s="199">
        <v>2023</v>
      </c>
      <c r="E88" s="199">
        <f>VLOOKUP($B88,'MAIN DATA, Orders'!$A:$L,11,0)</f>
        <v>2024</v>
      </c>
      <c r="F88" s="199">
        <f>VLOOKUP($B88,'MAIN DATA, Orders'!$A:$L,12,0)</f>
        <v>2028</v>
      </c>
      <c r="G88" s="199">
        <f t="shared" si="14"/>
        <v>1</v>
      </c>
      <c r="H88" s="199">
        <f t="shared" si="15"/>
        <v>5</v>
      </c>
      <c r="I88" s="199">
        <f t="shared" si="16"/>
        <v>3</v>
      </c>
    </row>
    <row r="89" spans="2:9">
      <c r="B89" s="199" t="s">
        <v>1096</v>
      </c>
      <c r="C89" s="40">
        <f>VLOOKUP($B89,'MAIN DATA, Orders'!$A:$L,4,0)</f>
        <v>45274</v>
      </c>
      <c r="D89" s="199">
        <v>2023</v>
      </c>
      <c r="E89" s="199">
        <f>VLOOKUP($B89,'MAIN DATA, Orders'!$A:$L,11,0)</f>
        <v>2024</v>
      </c>
      <c r="F89" s="199">
        <f>VLOOKUP($B89,'MAIN DATA, Orders'!$A:$L,12,0)</f>
        <v>2026</v>
      </c>
      <c r="G89" s="199">
        <f t="shared" si="14"/>
        <v>1</v>
      </c>
      <c r="H89" s="199">
        <f t="shared" si="15"/>
        <v>3</v>
      </c>
      <c r="I89" s="199">
        <f t="shared" si="16"/>
        <v>2</v>
      </c>
    </row>
    <row r="90" spans="2:9">
      <c r="B90" s="199" t="s">
        <v>1105</v>
      </c>
      <c r="C90" s="40">
        <f>VLOOKUP($B90,'MAIN DATA, Orders'!$A:$L,4,0)</f>
        <v>45274</v>
      </c>
      <c r="D90" s="199">
        <v>2023</v>
      </c>
      <c r="E90" s="199">
        <f>VLOOKUP($B90,'MAIN DATA, Orders'!$A:$L,11,0)</f>
        <v>2026</v>
      </c>
      <c r="F90" s="199">
        <f>VLOOKUP($B90,'MAIN DATA, Orders'!$A:$L,12,0)</f>
        <v>2026</v>
      </c>
      <c r="G90" s="199">
        <f t="shared" si="14"/>
        <v>3</v>
      </c>
      <c r="H90" s="199">
        <f t="shared" si="15"/>
        <v>3</v>
      </c>
      <c r="I90" s="199">
        <f t="shared" si="16"/>
        <v>3</v>
      </c>
    </row>
    <row r="91" spans="2:9">
      <c r="B91" s="199" t="s">
        <v>1112</v>
      </c>
      <c r="C91" s="40">
        <f>VLOOKUP($B91,'MAIN DATA, Orders'!$A:$L,4,0)</f>
        <v>45274</v>
      </c>
      <c r="D91" s="199">
        <v>2023</v>
      </c>
      <c r="E91" s="199">
        <f>VLOOKUP($B91,'MAIN DATA, Orders'!$A:$L,11,0)</f>
        <v>2027</v>
      </c>
      <c r="F91" s="199">
        <f>VLOOKUP($B91,'MAIN DATA, Orders'!$A:$L,12,0)</f>
        <v>2033</v>
      </c>
      <c r="G91" s="199">
        <f t="shared" si="14"/>
        <v>4</v>
      </c>
      <c r="H91" s="199">
        <f t="shared" si="15"/>
        <v>10</v>
      </c>
      <c r="I91" s="199">
        <f t="shared" si="16"/>
        <v>7</v>
      </c>
    </row>
    <row r="92" spans="2:9">
      <c r="B92" s="199" t="s">
        <v>1117</v>
      </c>
      <c r="C92" s="40">
        <f>VLOOKUP($B92,'MAIN DATA, Orders'!$A:$L,4,0)</f>
        <v>45274</v>
      </c>
      <c r="D92" s="199">
        <v>2023</v>
      </c>
      <c r="E92" s="199">
        <f>VLOOKUP($B92,'MAIN DATA, Orders'!$A:$L,11,0)</f>
        <v>2027</v>
      </c>
      <c r="F92" s="199">
        <f>VLOOKUP($B92,'MAIN DATA, Orders'!$A:$L,12,0)</f>
        <v>2033</v>
      </c>
      <c r="G92" s="199">
        <f t="shared" si="14"/>
        <v>4</v>
      </c>
      <c r="H92" s="199">
        <f t="shared" si="15"/>
        <v>10</v>
      </c>
      <c r="I92" s="199">
        <f t="shared" si="16"/>
        <v>7</v>
      </c>
    </row>
    <row r="93" spans="2:9">
      <c r="B93" s="199" t="s">
        <v>1134</v>
      </c>
      <c r="C93" s="40">
        <f>VLOOKUP($B93,'MAIN DATA, Orders'!$A:$L,4,0)</f>
        <v>45343</v>
      </c>
      <c r="D93" s="199">
        <v>2024</v>
      </c>
      <c r="E93" s="199">
        <f>VLOOKUP($B93,'MAIN DATA, Orders'!$A:$L,11,0)</f>
        <v>2026</v>
      </c>
      <c r="F93" s="199">
        <f>VLOOKUP($B93,'MAIN DATA, Orders'!$A:$L,12,0)</f>
        <v>2028</v>
      </c>
      <c r="G93" s="199">
        <f t="shared" si="14"/>
        <v>2</v>
      </c>
      <c r="H93" s="199">
        <f t="shared" si="15"/>
        <v>4</v>
      </c>
      <c r="I93" s="199">
        <f t="shared" si="16"/>
        <v>3</v>
      </c>
    </row>
    <row r="94" spans="2:9">
      <c r="B94" s="199" t="s">
        <v>1160</v>
      </c>
      <c r="C94" s="40">
        <f>VLOOKUP($B94,'MAIN DATA, Orders'!$A:$L,4,0)</f>
        <v>45371</v>
      </c>
      <c r="D94" s="199">
        <v>2024</v>
      </c>
      <c r="E94" s="199">
        <f>VLOOKUP($B94,'MAIN DATA, Orders'!$A:$L,11,0)</f>
        <v>2024</v>
      </c>
      <c r="F94" s="199">
        <f>VLOOKUP($B94,'MAIN DATA, Orders'!$A:$L,12,0)</f>
        <v>2024</v>
      </c>
      <c r="G94" s="199">
        <f t="shared" si="14"/>
        <v>0</v>
      </c>
      <c r="H94" s="199">
        <f t="shared" si="15"/>
        <v>0</v>
      </c>
      <c r="I94" s="199">
        <f t="shared" si="16"/>
        <v>0</v>
      </c>
    </row>
    <row r="95" spans="2:9">
      <c r="B95" s="199" t="s">
        <v>1165</v>
      </c>
      <c r="C95" s="40">
        <f>VLOOKUP($B95,'MAIN DATA, Orders'!$A:$L,4,0)</f>
        <v>45371</v>
      </c>
      <c r="D95" s="199">
        <v>2024</v>
      </c>
      <c r="E95" s="199">
        <f>VLOOKUP($B95,'MAIN DATA, Orders'!$A:$L,11,0)</f>
        <v>2025</v>
      </c>
      <c r="F95" s="199">
        <f>VLOOKUP($B95,'MAIN DATA, Orders'!$A:$L,12,0)</f>
        <v>2030</v>
      </c>
      <c r="G95" s="199">
        <f t="shared" si="14"/>
        <v>1</v>
      </c>
      <c r="H95" s="199">
        <f t="shared" si="15"/>
        <v>6</v>
      </c>
      <c r="I95" s="199">
        <f t="shared" si="16"/>
        <v>3.5</v>
      </c>
    </row>
    <row r="96" spans="2:9">
      <c r="B96" s="199" t="s">
        <v>1172</v>
      </c>
      <c r="C96" s="40">
        <f>VLOOKUP($B96,'MAIN DATA, Orders'!$A:$L,4,0)</f>
        <v>45371</v>
      </c>
      <c r="D96" s="199">
        <v>2024</v>
      </c>
      <c r="E96" s="199">
        <f>VLOOKUP($B96,'MAIN DATA, Orders'!$A:$L,11,0)</f>
        <v>2025</v>
      </c>
      <c r="F96" s="199">
        <f>VLOOKUP($B96,'MAIN DATA, Orders'!$A:$L,12,0)</f>
        <v>2030</v>
      </c>
      <c r="G96" s="199">
        <f t="shared" si="14"/>
        <v>1</v>
      </c>
      <c r="H96" s="199">
        <f t="shared" si="15"/>
        <v>6</v>
      </c>
      <c r="I96" s="199">
        <f t="shared" si="16"/>
        <v>3.5</v>
      </c>
    </row>
    <row r="97" spans="2:9">
      <c r="B97" s="199" t="s">
        <v>1181</v>
      </c>
      <c r="C97" s="40">
        <f>VLOOKUP($B97,'MAIN DATA, Orders'!$A:$L,4,0)</f>
        <v>45392</v>
      </c>
      <c r="D97" s="199">
        <v>2024</v>
      </c>
      <c r="E97" s="199">
        <f>VLOOKUP($B97,'MAIN DATA, Orders'!$A:$L,11,0)</f>
        <v>2024</v>
      </c>
      <c r="F97" s="199">
        <f>VLOOKUP($B97,'MAIN DATA, Orders'!$A:$L,12,0)</f>
        <v>2026</v>
      </c>
      <c r="G97" s="199">
        <f t="shared" si="14"/>
        <v>0</v>
      </c>
      <c r="H97" s="199">
        <f t="shared" si="15"/>
        <v>2</v>
      </c>
      <c r="I97" s="199">
        <f t="shared" si="16"/>
        <v>1</v>
      </c>
    </row>
    <row r="98" spans="2:9">
      <c r="B98" s="45" t="s">
        <v>1226</v>
      </c>
      <c r="C98" s="40">
        <f>VLOOKUP($B98,'MAIN DATA, Orders'!$A:$L,4,0)</f>
        <v>45427</v>
      </c>
      <c r="D98" s="199">
        <v>2024</v>
      </c>
      <c r="E98" s="199">
        <f>VLOOKUP($B98,'MAIN DATA, Orders'!$A:$L,11,0)</f>
        <v>2026</v>
      </c>
      <c r="F98" s="199">
        <f>VLOOKUP($B98,'MAIN DATA, Orders'!$A:$L,12,0)</f>
        <v>2029</v>
      </c>
      <c r="G98" s="199">
        <f t="shared" si="14"/>
        <v>2</v>
      </c>
      <c r="H98" s="199">
        <f t="shared" si="15"/>
        <v>5</v>
      </c>
      <c r="I98" s="199">
        <f t="shared" si="16"/>
        <v>3.5</v>
      </c>
    </row>
    <row r="99" spans="2:9">
      <c r="B99" s="199" t="s">
        <v>1235</v>
      </c>
      <c r="C99" s="40">
        <f>VLOOKUP($B99,'MAIN DATA, Orders'!$A:$L,4,0)</f>
        <v>45448</v>
      </c>
      <c r="D99" s="199">
        <v>2024</v>
      </c>
      <c r="E99" s="199">
        <f>VLOOKUP($B99,'MAIN DATA, Orders'!$A:$L,11,0)</f>
        <v>2024</v>
      </c>
      <c r="F99" s="199">
        <f>VLOOKUP($B99,'MAIN DATA, Orders'!$A:$L,12,0)</f>
        <v>2024</v>
      </c>
      <c r="G99" s="199">
        <f t="shared" si="14"/>
        <v>0</v>
      </c>
      <c r="H99" s="199">
        <f t="shared" si="15"/>
        <v>0</v>
      </c>
      <c r="I99" s="199">
        <f t="shared" si="16"/>
        <v>0</v>
      </c>
    </row>
    <row r="100" spans="2:9">
      <c r="B100" s="199" t="s">
        <v>1236</v>
      </c>
      <c r="C100" s="40">
        <f>VLOOKUP($B100,'MAIN DATA, Orders'!$A:$L,4,0)</f>
        <v>45448</v>
      </c>
      <c r="D100" s="199">
        <v>2024</v>
      </c>
      <c r="E100" s="199">
        <f>VLOOKUP($B100,'MAIN DATA, Orders'!$A:$L,11,0)</f>
        <v>2024</v>
      </c>
      <c r="F100" s="199">
        <f>VLOOKUP($B100,'MAIN DATA, Orders'!$A:$L,12,0)</f>
        <v>2024</v>
      </c>
      <c r="G100" s="199">
        <f t="shared" si="14"/>
        <v>0</v>
      </c>
      <c r="H100" s="199">
        <f t="shared" si="15"/>
        <v>0</v>
      </c>
      <c r="I100" s="199">
        <f t="shared" si="16"/>
        <v>0</v>
      </c>
    </row>
    <row r="101" spans="2:9">
      <c r="B101" s="199" t="s">
        <v>1237</v>
      </c>
      <c r="C101" s="40">
        <f>VLOOKUP($B101,'MAIN DATA, Orders'!$A:$L,4,0)</f>
        <v>45448</v>
      </c>
      <c r="D101" s="199">
        <v>2024</v>
      </c>
      <c r="E101" s="199">
        <f>VLOOKUP($B101,'MAIN DATA, Orders'!$A:$L,11,0)</f>
        <v>2024</v>
      </c>
      <c r="F101" s="199">
        <f>VLOOKUP($B101,'MAIN DATA, Orders'!$A:$L,12,0)</f>
        <v>2024</v>
      </c>
      <c r="G101" s="199">
        <f t="shared" si="14"/>
        <v>0</v>
      </c>
      <c r="H101" s="199">
        <f t="shared" si="15"/>
        <v>0</v>
      </c>
      <c r="I101" s="199">
        <f t="shared" si="16"/>
        <v>0</v>
      </c>
    </row>
    <row r="102" spans="2:9">
      <c r="B102" s="199" t="s">
        <v>1239</v>
      </c>
      <c r="C102" s="40">
        <f>VLOOKUP($B102,'MAIN DATA, Orders'!$A:$L,4,0)</f>
        <v>45448</v>
      </c>
      <c r="D102" s="199">
        <v>2024</v>
      </c>
      <c r="E102" s="199">
        <f>VLOOKUP($B102,'MAIN DATA, Orders'!$A:$L,11,0)</f>
        <v>2024</v>
      </c>
      <c r="F102" s="199">
        <f>VLOOKUP($B102,'MAIN DATA, Orders'!$A:$L,12,0)</f>
        <v>2024</v>
      </c>
      <c r="G102" s="199">
        <f t="shared" si="14"/>
        <v>0</v>
      </c>
      <c r="H102" s="199">
        <f t="shared" si="15"/>
        <v>0</v>
      </c>
      <c r="I102" s="199">
        <f t="shared" si="16"/>
        <v>0</v>
      </c>
    </row>
    <row r="103" spans="2:9">
      <c r="B103" s="199" t="s">
        <v>1247</v>
      </c>
      <c r="C103" s="40">
        <f>VLOOKUP($B103,'MAIN DATA, Orders'!$A:$L,4,0)</f>
        <v>45448</v>
      </c>
      <c r="D103" s="199">
        <v>2024</v>
      </c>
      <c r="E103" s="199">
        <f>VLOOKUP($B103,'MAIN DATA, Orders'!$A:$L,11,0)</f>
        <v>2025</v>
      </c>
      <c r="F103" s="199">
        <f>VLOOKUP($B103,'MAIN DATA, Orders'!$A:$L,12,0)</f>
        <v>2026</v>
      </c>
      <c r="G103" s="199">
        <f t="shared" ref="G103:G111" si="17">E103-D103</f>
        <v>1</v>
      </c>
      <c r="H103" s="199">
        <f t="shared" ref="H103:H111" si="18">F103-D103</f>
        <v>2</v>
      </c>
      <c r="I103" s="199">
        <f t="shared" si="16"/>
        <v>1.5</v>
      </c>
    </row>
    <row r="104" spans="2:9">
      <c r="B104" s="199" t="s">
        <v>1265</v>
      </c>
      <c r="C104" s="40">
        <f>VLOOKUP($B104,'MAIN DATA, Orders'!$A:$L,4,0)</f>
        <v>45455</v>
      </c>
      <c r="D104" s="199">
        <v>2024</v>
      </c>
      <c r="E104" s="199">
        <f>VLOOKUP($B104,'MAIN DATA, Orders'!$A:$L,11,0)</f>
        <v>2033</v>
      </c>
      <c r="F104" s="199">
        <f>VLOOKUP($B104,'MAIN DATA, Orders'!$A:$L,12,0)</f>
        <v>2034</v>
      </c>
      <c r="G104" s="199">
        <f t="shared" si="17"/>
        <v>9</v>
      </c>
      <c r="H104" s="199">
        <f t="shared" si="18"/>
        <v>10</v>
      </c>
      <c r="I104" s="199">
        <f t="shared" si="16"/>
        <v>9.5</v>
      </c>
    </row>
    <row r="105" spans="2:9">
      <c r="B105" s="199" t="s">
        <v>1296</v>
      </c>
      <c r="C105" s="40">
        <f>VLOOKUP($B105,'MAIN DATA, Orders'!$A:$L,4,0)</f>
        <v>45469</v>
      </c>
      <c r="D105" s="199">
        <v>2024</v>
      </c>
      <c r="E105" s="199">
        <f>VLOOKUP($B105,'MAIN DATA, Orders'!$A:$L,11,0)</f>
        <v>2026</v>
      </c>
      <c r="F105" s="199">
        <f>VLOOKUP($B105,'MAIN DATA, Orders'!$A:$L,12,0)</f>
        <v>2029</v>
      </c>
      <c r="G105" s="199">
        <f t="shared" si="17"/>
        <v>2</v>
      </c>
      <c r="H105" s="199">
        <f t="shared" si="18"/>
        <v>5</v>
      </c>
      <c r="I105" s="199">
        <f t="shared" si="16"/>
        <v>3.5</v>
      </c>
    </row>
    <row r="106" spans="2:9">
      <c r="B106" s="199" t="s">
        <v>1300</v>
      </c>
      <c r="C106" s="40">
        <f>VLOOKUP($B106,'MAIN DATA, Orders'!$A:$L,4,0)</f>
        <v>45469</v>
      </c>
      <c r="D106" s="199">
        <v>2024</v>
      </c>
      <c r="E106" s="199">
        <f>VLOOKUP($B106,'MAIN DATA, Orders'!$A:$L,11,0)</f>
        <v>2027</v>
      </c>
      <c r="F106" s="199">
        <f>VLOOKUP($B106,'MAIN DATA, Orders'!$A:$L,12,0)</f>
        <v>2029</v>
      </c>
      <c r="G106" s="199">
        <f t="shared" si="17"/>
        <v>3</v>
      </c>
      <c r="H106" s="199">
        <f t="shared" si="18"/>
        <v>5</v>
      </c>
      <c r="I106" s="199">
        <f t="shared" si="16"/>
        <v>4</v>
      </c>
    </row>
    <row r="107" spans="2:9">
      <c r="B107" s="199" t="s">
        <v>1327</v>
      </c>
      <c r="C107" s="40">
        <f>VLOOKUP($B107,'MAIN DATA, Orders'!$A:$L,4,0)</f>
        <v>45469</v>
      </c>
      <c r="D107" s="199">
        <v>2024</v>
      </c>
      <c r="E107" s="199">
        <f>VLOOKUP($B107,'MAIN DATA, Orders'!$A:$L,11,0)</f>
        <v>2028</v>
      </c>
      <c r="F107" s="199">
        <f>VLOOKUP($B107,'MAIN DATA, Orders'!$A:$L,12,0)</f>
        <v>2029</v>
      </c>
      <c r="G107" s="199">
        <f t="shared" si="17"/>
        <v>4</v>
      </c>
      <c r="H107" s="199">
        <f t="shared" si="18"/>
        <v>5</v>
      </c>
      <c r="I107" s="199">
        <f t="shared" ref="I107:I111" si="19">AVERAGE(G107:H107)</f>
        <v>4.5</v>
      </c>
    </row>
    <row r="108" spans="2:9">
      <c r="B108" s="199" t="s">
        <v>1332</v>
      </c>
      <c r="C108" s="40">
        <f>VLOOKUP($B108,'MAIN DATA, Orders'!$A:$L,4,0)</f>
        <v>45476</v>
      </c>
      <c r="D108" s="199">
        <v>2024</v>
      </c>
      <c r="E108" s="199">
        <f>VLOOKUP($B108,'MAIN DATA, Orders'!$A:$L,11,0)</f>
        <v>2027</v>
      </c>
      <c r="F108" s="199">
        <f>VLOOKUP($B108,'MAIN DATA, Orders'!$A:$L,12,0)</f>
        <v>2030</v>
      </c>
      <c r="G108" s="199">
        <f t="shared" si="17"/>
        <v>3</v>
      </c>
      <c r="H108" s="199">
        <f t="shared" si="18"/>
        <v>6</v>
      </c>
      <c r="I108" s="199">
        <f t="shared" si="19"/>
        <v>4.5</v>
      </c>
    </row>
    <row r="109" spans="2:9">
      <c r="B109" s="199" t="s">
        <v>1337</v>
      </c>
      <c r="C109" s="40">
        <f>VLOOKUP($B109,'MAIN DATA, Orders'!$A:$L,4,0)</f>
        <v>45476</v>
      </c>
      <c r="D109" s="199">
        <v>2024</v>
      </c>
      <c r="E109" s="199">
        <f>VLOOKUP($B109,'MAIN DATA, Orders'!$A:$L,11,0)</f>
        <v>2024</v>
      </c>
      <c r="F109" s="199">
        <f>VLOOKUP($B109,'MAIN DATA, Orders'!$A:$L,12,0)</f>
        <v>2027</v>
      </c>
      <c r="G109" s="199">
        <f t="shared" si="17"/>
        <v>0</v>
      </c>
      <c r="H109" s="199">
        <f t="shared" si="18"/>
        <v>3</v>
      </c>
      <c r="I109" s="199">
        <f t="shared" si="19"/>
        <v>1.5</v>
      </c>
    </row>
    <row r="110" spans="2:9">
      <c r="B110" s="199" t="s">
        <v>1344</v>
      </c>
      <c r="C110" s="40">
        <f>VLOOKUP($B110,'MAIN DATA, Orders'!$A:$L,4,0)</f>
        <v>45476</v>
      </c>
      <c r="D110" s="199">
        <v>2024</v>
      </c>
      <c r="E110" s="199">
        <f>VLOOKUP($B110,'MAIN DATA, Orders'!$A:$L,11,0)</f>
        <v>2027</v>
      </c>
      <c r="F110" s="199">
        <f>VLOOKUP($B110,'MAIN DATA, Orders'!$A:$L,12,0)</f>
        <v>2031</v>
      </c>
      <c r="G110" s="199">
        <f t="shared" si="17"/>
        <v>3</v>
      </c>
      <c r="H110" s="199">
        <f t="shared" si="18"/>
        <v>7</v>
      </c>
      <c r="I110" s="199">
        <f t="shared" si="19"/>
        <v>5</v>
      </c>
    </row>
    <row r="111" spans="2:9">
      <c r="B111" s="199" t="s">
        <v>1348</v>
      </c>
      <c r="C111" s="40">
        <f>VLOOKUP($B111,'MAIN DATA, Orders'!$A:$L,4,0)</f>
        <v>45476</v>
      </c>
      <c r="D111" s="199">
        <v>2024</v>
      </c>
      <c r="E111" s="199">
        <f>VLOOKUP($B111,'MAIN DATA, Orders'!$A:$L,11,0)</f>
        <v>2025</v>
      </c>
      <c r="F111" s="199">
        <f>VLOOKUP($B111,'MAIN DATA, Orders'!$A:$L,12,0)</f>
        <v>2025</v>
      </c>
      <c r="G111" s="199">
        <f t="shared" si="17"/>
        <v>1</v>
      </c>
      <c r="H111" s="199">
        <f t="shared" si="18"/>
        <v>1</v>
      </c>
      <c r="I111" s="199">
        <f t="shared" si="19"/>
        <v>1</v>
      </c>
    </row>
    <row r="112" spans="2:9">
      <c r="B112" s="151" t="s">
        <v>1357</v>
      </c>
      <c r="C112" s="154">
        <f>VLOOKUP($B112,'MAIN DATA, Orders'!$A:$L,4,0)</f>
        <v>45476</v>
      </c>
      <c r="D112" s="151">
        <v>2024</v>
      </c>
      <c r="E112" s="151">
        <f>VLOOKUP($B112,'MAIN DATA, Orders'!$A:$L,11,0)</f>
        <v>2024</v>
      </c>
      <c r="F112" s="151">
        <f>VLOOKUP($B112,'MAIN DATA, Orders'!$A:$L,12,0)</f>
        <v>2026</v>
      </c>
      <c r="G112" s="151">
        <f t="shared" ref="G112" si="20">E112-D112</f>
        <v>0</v>
      </c>
      <c r="H112" s="151">
        <f t="shared" ref="H112" si="21">F112-D112</f>
        <v>2</v>
      </c>
      <c r="I112" s="151">
        <f t="shared" ref="I112" si="22">AVERAGE(G112:H112)</f>
        <v>1</v>
      </c>
    </row>
  </sheetData>
  <mergeCells count="1">
    <mergeCell ref="B4:I4"/>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E7E20-8BBE-4AB4-ACE6-34D02181156D}">
  <sheetPr>
    <tabColor theme="8" tint="0.59999389629810485"/>
  </sheetPr>
  <dimension ref="A2:I61"/>
  <sheetViews>
    <sheetView workbookViewId="0"/>
  </sheetViews>
  <sheetFormatPr defaultColWidth="8.69921875" defaultRowHeight="15.6"/>
  <cols>
    <col min="1" max="1" width="8.69921875" style="1" customWidth="1"/>
    <col min="2" max="2" width="9.69921875" style="1" customWidth="1"/>
    <col min="3" max="3" width="14.09765625" style="1" bestFit="1" customWidth="1"/>
    <col min="4" max="4" width="28.59765625" style="1" bestFit="1" customWidth="1"/>
    <col min="5" max="5" width="30.69921875" style="1" bestFit="1" customWidth="1"/>
    <col min="6" max="7" width="8.69921875" style="1"/>
    <col min="8" max="8" width="9.69921875" style="1" customWidth="1"/>
    <col min="9" max="9" width="30.69921875" style="1" bestFit="1" customWidth="1"/>
    <col min="10" max="11" width="8.69921875" style="1"/>
    <col min="12" max="12" width="9.09765625" style="1" bestFit="1" customWidth="1"/>
    <col min="13" max="15" width="8.69921875" style="1"/>
    <col min="16" max="16" width="9.19921875" style="1" customWidth="1"/>
    <col min="17" max="20" width="8.69921875" style="1"/>
    <col min="21" max="21" width="9.19921875" style="1" customWidth="1"/>
    <col min="22" max="16384" width="8.69921875" style="1"/>
  </cols>
  <sheetData>
    <row r="2" spans="1:9" ht="25.2">
      <c r="B2" s="197" t="s">
        <v>1643</v>
      </c>
    </row>
    <row r="3" spans="1:9">
      <c r="B3" s="92"/>
    </row>
    <row r="4" spans="1:9" ht="130.19999999999999" customHeight="1">
      <c r="B4" s="212" t="s">
        <v>1644</v>
      </c>
      <c r="C4" s="212"/>
      <c r="D4" s="212"/>
      <c r="E4" s="212"/>
    </row>
    <row r="6" spans="1:9" ht="21" customHeight="1">
      <c r="B6" s="161" t="s">
        <v>1404</v>
      </c>
      <c r="C6" s="161" t="s">
        <v>1645</v>
      </c>
      <c r="D6" s="161" t="s">
        <v>1646</v>
      </c>
      <c r="E6" s="161" t="s">
        <v>1647</v>
      </c>
      <c r="F6" s="22"/>
      <c r="H6" s="161" t="s">
        <v>1640</v>
      </c>
      <c r="I6" s="161" t="s">
        <v>1647</v>
      </c>
    </row>
    <row r="7" spans="1:9">
      <c r="A7" s="72">
        <v>1</v>
      </c>
      <c r="B7" s="68">
        <v>43831</v>
      </c>
      <c r="C7" s="93">
        <f>COUNTIFS('MAIN DATA, Orders'!$E:$E,"&lt;&gt;.",'MAIN DATA, Orders'!$Q:$Q,$A7,'MAIN DATA, Orders'!$C:$C,"Germany")</f>
        <v>0</v>
      </c>
      <c r="D7" s="93">
        <f>COUNTIFS('MAIN DATA, Orders'!$E:$E,"&lt;&gt;.",'MAIN DATA, Orders'!$Q:$Q,$A7,'MAIN DATA, Orders'!$C:$C,"Germany",'MAIN DATA, Orders'!$L:$L,".")</f>
        <v>0</v>
      </c>
      <c r="E7" s="15">
        <v>0</v>
      </c>
      <c r="F7" s="199"/>
      <c r="G7" s="199"/>
      <c r="H7" s="40">
        <v>43891</v>
      </c>
      <c r="I7" s="175">
        <f>AVERAGEIFS(E:E,A:A,"&lt;="&amp;(MONTH(H7)+(YEAR(H7)-2020)*12),A:A,"&gt;="&amp;((MONTH(H7)+(YEAR(H7)-2020)*12)-2))</f>
        <v>0</v>
      </c>
    </row>
    <row r="8" spans="1:9">
      <c r="A8" s="72">
        <v>2</v>
      </c>
      <c r="B8" s="68">
        <v>43862</v>
      </c>
      <c r="C8" s="93">
        <f>COUNTIFS('MAIN DATA, Orders'!$E:$E,"&lt;&gt;.",'MAIN DATA, Orders'!$Q:$Q,$A8,'MAIN DATA, Orders'!$C:$C,"Germany")</f>
        <v>0</v>
      </c>
      <c r="D8" s="93">
        <f>COUNTIFS('MAIN DATA, Orders'!$E:$E,"&lt;&gt;.",'MAIN DATA, Orders'!$Q:$Q,$A8,'MAIN DATA, Orders'!$C:$C,"Germany",'MAIN DATA, Orders'!$L:$L,".")</f>
        <v>0</v>
      </c>
      <c r="E8" s="15">
        <v>0</v>
      </c>
      <c r="F8" s="199"/>
      <c r="G8" s="199"/>
      <c r="H8" s="40">
        <v>43983</v>
      </c>
      <c r="I8" s="175">
        <f t="shared" ref="I8:I24" si="0">AVERAGEIFS(E:E,A:A,"&lt;="&amp;(MONTH(H8)+(YEAR(H8)-2020)*12),A:A,"&gt;="&amp;((MONTH(H8)+(YEAR(H8)-2020)*12)-2))</f>
        <v>0.1111111111111111</v>
      </c>
    </row>
    <row r="9" spans="1:9">
      <c r="A9" s="72">
        <v>3</v>
      </c>
      <c r="B9" s="68">
        <v>43891</v>
      </c>
      <c r="C9" s="93">
        <f>COUNTIFS('MAIN DATA, Orders'!$E:$E,"&lt;&gt;.",'MAIN DATA, Orders'!$Q:$Q,$A9,'MAIN DATA, Orders'!$C:$C,"Germany")</f>
        <v>0</v>
      </c>
      <c r="D9" s="93">
        <f>COUNTIFS('MAIN DATA, Orders'!$E:$E,"&lt;&gt;.",'MAIN DATA, Orders'!$Q:$Q,$A9,'MAIN DATA, Orders'!$C:$C,"Germany",'MAIN DATA, Orders'!$L:$L,".")</f>
        <v>0</v>
      </c>
      <c r="E9" s="15">
        <v>0</v>
      </c>
      <c r="F9" s="199"/>
      <c r="G9" s="199"/>
      <c r="H9" s="40">
        <v>44075</v>
      </c>
      <c r="I9" s="175">
        <f t="shared" si="0"/>
        <v>0.14285714285714285</v>
      </c>
    </row>
    <row r="10" spans="1:9">
      <c r="A10" s="72">
        <v>4</v>
      </c>
      <c r="B10" s="68">
        <v>43922</v>
      </c>
      <c r="C10" s="93">
        <f>COUNTIFS('MAIN DATA, Orders'!$E:$E,"&lt;&gt;.",'MAIN DATA, Orders'!$Q:$Q,$A10,'MAIN DATA, Orders'!$C:$C,"Germany")</f>
        <v>0</v>
      </c>
      <c r="D10" s="93">
        <f>COUNTIFS('MAIN DATA, Orders'!$E:$E,"&lt;&gt;.",'MAIN DATA, Orders'!$Q:$Q,$A10,'MAIN DATA, Orders'!$C:$C,"Germany",'MAIN DATA, Orders'!$L:$L,".")</f>
        <v>0</v>
      </c>
      <c r="E10" s="15">
        <v>0</v>
      </c>
      <c r="F10" s="199"/>
      <c r="G10" s="199"/>
      <c r="H10" s="40">
        <v>44166</v>
      </c>
      <c r="I10" s="175">
        <f t="shared" si="0"/>
        <v>0.46153846153846151</v>
      </c>
    </row>
    <row r="11" spans="1:9">
      <c r="A11" s="72">
        <v>5</v>
      </c>
      <c r="B11" s="68">
        <v>43952</v>
      </c>
      <c r="C11" s="93">
        <f>COUNTIFS('MAIN DATA, Orders'!$E:$E,"&lt;&gt;.",'MAIN DATA, Orders'!$Q:$Q,$A11,'MAIN DATA, Orders'!$C:$C,"Germany")</f>
        <v>1</v>
      </c>
      <c r="D11" s="93">
        <f>COUNTIFS('MAIN DATA, Orders'!$E:$E,"&lt;&gt;.",'MAIN DATA, Orders'!$Q:$Q,$A11,'MAIN DATA, Orders'!$C:$C,"Germany",'MAIN DATA, Orders'!$L:$L,".")</f>
        <v>0</v>
      </c>
      <c r="E11" s="15">
        <f t="shared" ref="E11:E61" si="1">D11/C11</f>
        <v>0</v>
      </c>
      <c r="F11" s="199"/>
      <c r="G11" s="199"/>
      <c r="H11" s="40">
        <v>44256</v>
      </c>
      <c r="I11" s="175">
        <f t="shared" si="0"/>
        <v>0</v>
      </c>
    </row>
    <row r="12" spans="1:9">
      <c r="A12" s="72">
        <v>6</v>
      </c>
      <c r="B12" s="68">
        <v>43983</v>
      </c>
      <c r="C12" s="93">
        <f>COUNTIFS('MAIN DATA, Orders'!$E:$E,"&lt;&gt;.",'MAIN DATA, Orders'!$Q:$Q,$A12,'MAIN DATA, Orders'!$C:$C,"Germany")</f>
        <v>3</v>
      </c>
      <c r="D12" s="93">
        <f>COUNTIFS('MAIN DATA, Orders'!$E:$E,"&lt;&gt;.",'MAIN DATA, Orders'!$Q:$Q,$A12,'MAIN DATA, Orders'!$C:$C,"Germany",'MAIN DATA, Orders'!$L:$L,".")</f>
        <v>1</v>
      </c>
      <c r="E12" s="15">
        <f>D12/C12</f>
        <v>0.33333333333333331</v>
      </c>
      <c r="F12" s="199"/>
      <c r="G12" s="199"/>
      <c r="H12" s="40">
        <v>44348</v>
      </c>
      <c r="I12" s="175">
        <f t="shared" si="0"/>
        <v>0.3852150537634409</v>
      </c>
    </row>
    <row r="13" spans="1:9">
      <c r="A13" s="72">
        <v>7</v>
      </c>
      <c r="B13" s="68">
        <v>44013</v>
      </c>
      <c r="C13" s="93">
        <f>COUNTIFS('MAIN DATA, Orders'!$E:$E,"&lt;&gt;.",'MAIN DATA, Orders'!$Q:$Q,$A13,'MAIN DATA, Orders'!$C:$C,"Germany")</f>
        <v>0</v>
      </c>
      <c r="D13" s="93">
        <f>COUNTIFS('MAIN DATA, Orders'!$E:$E,"&lt;&gt;.",'MAIN DATA, Orders'!$Q:$Q,$A13,'MAIN DATA, Orders'!$C:$C,"Germany",'MAIN DATA, Orders'!$L:$L,".")</f>
        <v>0</v>
      </c>
      <c r="E13" s="15">
        <v>0</v>
      </c>
      <c r="F13" s="199"/>
      <c r="G13" s="199"/>
      <c r="H13" s="40">
        <v>44440</v>
      </c>
      <c r="I13" s="175">
        <f t="shared" si="0"/>
        <v>0</v>
      </c>
    </row>
    <row r="14" spans="1:9">
      <c r="A14" s="72">
        <v>8</v>
      </c>
      <c r="B14" s="68">
        <v>44044</v>
      </c>
      <c r="C14" s="93">
        <f>COUNTIFS('MAIN DATA, Orders'!$E:$E,"&lt;&gt;.",'MAIN DATA, Orders'!$Q:$Q,$A14,'MAIN DATA, Orders'!$C:$C,"Germany")</f>
        <v>1</v>
      </c>
      <c r="D14" s="93">
        <f>COUNTIFS('MAIN DATA, Orders'!$E:$E,"&lt;&gt;.",'MAIN DATA, Orders'!$Q:$Q,$A14,'MAIN DATA, Orders'!$C:$C,"Germany",'MAIN DATA, Orders'!$L:$L,".")</f>
        <v>0</v>
      </c>
      <c r="E14" s="15">
        <f t="shared" si="1"/>
        <v>0</v>
      </c>
      <c r="F14" s="199"/>
      <c r="G14" s="199"/>
      <c r="H14" s="40">
        <v>44531</v>
      </c>
      <c r="I14" s="175">
        <f t="shared" si="0"/>
        <v>0</v>
      </c>
    </row>
    <row r="15" spans="1:9">
      <c r="A15" s="72">
        <v>9</v>
      </c>
      <c r="B15" s="68">
        <v>44075</v>
      </c>
      <c r="C15" s="93">
        <f>COUNTIFS('MAIN DATA, Orders'!$E:$E,"&lt;&gt;.",'MAIN DATA, Orders'!$Q:$Q,$A15,'MAIN DATA, Orders'!$C:$C,"Germany")</f>
        <v>7</v>
      </c>
      <c r="D15" s="93">
        <f>COUNTIFS('MAIN DATA, Orders'!$E:$E,"&lt;&gt;.",'MAIN DATA, Orders'!$Q:$Q,$A15,'MAIN DATA, Orders'!$C:$C,"Germany",'MAIN DATA, Orders'!$L:$L,".")</f>
        <v>3</v>
      </c>
      <c r="E15" s="15">
        <f t="shared" si="1"/>
        <v>0.42857142857142855</v>
      </c>
      <c r="F15" s="199"/>
      <c r="G15" s="199"/>
      <c r="H15" s="40">
        <v>44621</v>
      </c>
      <c r="I15" s="175">
        <f t="shared" si="0"/>
        <v>0</v>
      </c>
    </row>
    <row r="16" spans="1:9">
      <c r="A16" s="72">
        <v>10</v>
      </c>
      <c r="B16" s="68">
        <v>44105</v>
      </c>
      <c r="C16" s="93">
        <f>COUNTIFS('MAIN DATA, Orders'!$E:$E,"&lt;&gt;.",'MAIN DATA, Orders'!$Q:$Q,$A16,'MAIN DATA, Orders'!$C:$C,"Germany")</f>
        <v>1</v>
      </c>
      <c r="D16" s="93">
        <f>COUNTIFS('MAIN DATA, Orders'!$E:$E,"&lt;&gt;.",'MAIN DATA, Orders'!$Q:$Q,$A16,'MAIN DATA, Orders'!$C:$C,"Germany",'MAIN DATA, Orders'!$L:$L,".")</f>
        <v>0</v>
      </c>
      <c r="E16" s="15">
        <f t="shared" si="1"/>
        <v>0</v>
      </c>
      <c r="F16" s="199"/>
      <c r="G16" s="199"/>
      <c r="H16" s="40">
        <v>44713</v>
      </c>
      <c r="I16" s="175">
        <f t="shared" si="0"/>
        <v>0.38095238095238093</v>
      </c>
    </row>
    <row r="17" spans="1:9">
      <c r="A17" s="72">
        <v>11</v>
      </c>
      <c r="B17" s="68">
        <v>44136</v>
      </c>
      <c r="C17" s="93">
        <f>COUNTIFS('MAIN DATA, Orders'!$E:$E,"&lt;&gt;.",'MAIN DATA, Orders'!$Q:$Q,$A17,'MAIN DATA, Orders'!$C:$C,"Germany")</f>
        <v>13</v>
      </c>
      <c r="D17" s="93">
        <f>COUNTIFS('MAIN DATA, Orders'!$E:$E,"&lt;&gt;.",'MAIN DATA, Orders'!$Q:$Q,$A17,'MAIN DATA, Orders'!$C:$C,"Germany",'MAIN DATA, Orders'!$L:$L,".")</f>
        <v>5</v>
      </c>
      <c r="E17" s="15">
        <f t="shared" si="1"/>
        <v>0.38461538461538464</v>
      </c>
      <c r="F17" s="199"/>
      <c r="G17" s="199"/>
      <c r="H17" s="40">
        <v>44805</v>
      </c>
      <c r="I17" s="175">
        <f t="shared" si="0"/>
        <v>8.3333333333333329E-2</v>
      </c>
    </row>
    <row r="18" spans="1:9">
      <c r="A18" s="72">
        <v>12</v>
      </c>
      <c r="B18" s="68">
        <v>44166</v>
      </c>
      <c r="C18" s="93">
        <f>COUNTIFS('MAIN DATA, Orders'!$E:$E,"&lt;&gt;.",'MAIN DATA, Orders'!$Q:$Q,$A18,'MAIN DATA, Orders'!$C:$C,"Germany")</f>
        <v>1</v>
      </c>
      <c r="D18" s="93">
        <f>COUNTIFS('MAIN DATA, Orders'!$E:$E,"&lt;&gt;.",'MAIN DATA, Orders'!$Q:$Q,$A18,'MAIN DATA, Orders'!$C:$C,"Germany",'MAIN DATA, Orders'!$L:$L,".")</f>
        <v>1</v>
      </c>
      <c r="E18" s="15">
        <f t="shared" si="1"/>
        <v>1</v>
      </c>
      <c r="F18" s="199"/>
      <c r="G18" s="199"/>
      <c r="H18" s="40">
        <v>44896</v>
      </c>
      <c r="I18" s="175">
        <f t="shared" si="0"/>
        <v>0.26190476190476192</v>
      </c>
    </row>
    <row r="19" spans="1:9">
      <c r="A19" s="72">
        <v>13</v>
      </c>
      <c r="B19" s="68">
        <v>44197</v>
      </c>
      <c r="C19" s="93">
        <f>COUNTIFS('MAIN DATA, Orders'!$E:$E,"&lt;&gt;.",'MAIN DATA, Orders'!$Q:$Q,$A19,'MAIN DATA, Orders'!$C:$C,"Germany")</f>
        <v>0</v>
      </c>
      <c r="D19" s="93">
        <f>COUNTIFS('MAIN DATA, Orders'!$E:$E,"&lt;&gt;.",'MAIN DATA, Orders'!$Q:$Q,$A19,'MAIN DATA, Orders'!$C:$C,"Germany",'MAIN DATA, Orders'!$L:$L,".")</f>
        <v>0</v>
      </c>
      <c r="E19" s="15">
        <v>0</v>
      </c>
      <c r="F19" s="199"/>
      <c r="G19" s="199"/>
      <c r="H19" s="40">
        <v>44986</v>
      </c>
      <c r="I19" s="175">
        <f t="shared" si="0"/>
        <v>5.5555555555555552E-2</v>
      </c>
    </row>
    <row r="20" spans="1:9">
      <c r="A20" s="72">
        <v>14</v>
      </c>
      <c r="B20" s="68">
        <v>44228</v>
      </c>
      <c r="C20" s="93">
        <f>COUNTIFS('MAIN DATA, Orders'!$E:$E,"&lt;&gt;.",'MAIN DATA, Orders'!$Q:$Q,$A20,'MAIN DATA, Orders'!$C:$C,"Germany")</f>
        <v>2</v>
      </c>
      <c r="D20" s="93">
        <f>COUNTIFS('MAIN DATA, Orders'!$E:$E,"&lt;&gt;.",'MAIN DATA, Orders'!$Q:$Q,$A20,'MAIN DATA, Orders'!$C:$C,"Germany",'MAIN DATA, Orders'!$L:$L,".")</f>
        <v>0</v>
      </c>
      <c r="E20" s="15">
        <f t="shared" si="1"/>
        <v>0</v>
      </c>
      <c r="F20" s="199"/>
      <c r="G20" s="199"/>
      <c r="H20" s="40">
        <v>45078</v>
      </c>
      <c r="I20" s="175">
        <f t="shared" si="0"/>
        <v>0.51111111111111107</v>
      </c>
    </row>
    <row r="21" spans="1:9">
      <c r="A21" s="72">
        <v>15</v>
      </c>
      <c r="B21" s="68">
        <v>44256</v>
      </c>
      <c r="C21" s="93">
        <f>COUNTIFS('MAIN DATA, Orders'!$E:$E,"&lt;&gt;.",'MAIN DATA, Orders'!$Q:$Q,$A21,'MAIN DATA, Orders'!$C:$C,"Germany")</f>
        <v>0</v>
      </c>
      <c r="D21" s="93">
        <f>COUNTIFS('MAIN DATA, Orders'!$E:$E,"&lt;&gt;.",'MAIN DATA, Orders'!$Q:$Q,$A21,'MAIN DATA, Orders'!$C:$C,"Germany",'MAIN DATA, Orders'!$L:$L,".")</f>
        <v>0</v>
      </c>
      <c r="E21" s="15">
        <v>0</v>
      </c>
      <c r="F21" s="199"/>
      <c r="G21" s="199"/>
      <c r="H21" s="40">
        <v>45170</v>
      </c>
      <c r="I21" s="175">
        <f t="shared" si="0"/>
        <v>0.31818181818181818</v>
      </c>
    </row>
    <row r="22" spans="1:9">
      <c r="A22" s="72">
        <v>16</v>
      </c>
      <c r="B22" s="68">
        <v>44287</v>
      </c>
      <c r="C22" s="93">
        <f>COUNTIFS('MAIN DATA, Orders'!$E:$E,"&lt;&gt;.",'MAIN DATA, Orders'!$Q:$Q,$A22,'MAIN DATA, Orders'!$C:$C,"Germany")</f>
        <v>8</v>
      </c>
      <c r="D22" s="93">
        <f>COUNTIFS('MAIN DATA, Orders'!$E:$E,"&lt;&gt;.",'MAIN DATA, Orders'!$Q:$Q,$A22,'MAIN DATA, Orders'!$C:$C,"Germany",'MAIN DATA, Orders'!$L:$L,".")</f>
        <v>3</v>
      </c>
      <c r="E22" s="15">
        <f t="shared" si="1"/>
        <v>0.375</v>
      </c>
      <c r="F22" s="199"/>
      <c r="G22" s="199"/>
      <c r="H22" s="40">
        <v>45261</v>
      </c>
      <c r="I22" s="175">
        <f t="shared" si="0"/>
        <v>0.33862433862433861</v>
      </c>
    </row>
    <row r="23" spans="1:9">
      <c r="A23" s="72">
        <v>17</v>
      </c>
      <c r="B23" s="68">
        <v>44317</v>
      </c>
      <c r="C23" s="93">
        <f>COUNTIFS('MAIN DATA, Orders'!$E:$E,"&lt;&gt;.",'MAIN DATA, Orders'!$Q:$Q,$A23,'MAIN DATA, Orders'!$C:$C,"Germany")</f>
        <v>5</v>
      </c>
      <c r="D23" s="93">
        <f>COUNTIFS('MAIN DATA, Orders'!$E:$E,"&lt;&gt;.",'MAIN DATA, Orders'!$Q:$Q,$A23,'MAIN DATA, Orders'!$C:$C,"Germany",'MAIN DATA, Orders'!$L:$L,".")</f>
        <v>1</v>
      </c>
      <c r="E23" s="15">
        <f t="shared" si="1"/>
        <v>0.2</v>
      </c>
      <c r="F23" s="199"/>
      <c r="G23" s="199"/>
      <c r="H23" s="40">
        <v>45352</v>
      </c>
      <c r="I23" s="175">
        <f t="shared" si="0"/>
        <v>0.625</v>
      </c>
    </row>
    <row r="24" spans="1:9">
      <c r="A24" s="72">
        <v>18</v>
      </c>
      <c r="B24" s="68">
        <v>44348</v>
      </c>
      <c r="C24" s="93">
        <f>COUNTIFS('MAIN DATA, Orders'!$E:$E,"&lt;&gt;.",'MAIN DATA, Orders'!$Q:$Q,$A24,'MAIN DATA, Orders'!$C:$C,"Germany")</f>
        <v>31</v>
      </c>
      <c r="D24" s="93">
        <f>COUNTIFS('MAIN DATA, Orders'!$E:$E,"&lt;&gt;.",'MAIN DATA, Orders'!$Q:$Q,$A24,'MAIN DATA, Orders'!$C:$C,"Germany",'MAIN DATA, Orders'!$L:$L,".")</f>
        <v>18</v>
      </c>
      <c r="E24" s="15">
        <f t="shared" si="1"/>
        <v>0.58064516129032262</v>
      </c>
      <c r="F24" s="199"/>
      <c r="G24" s="199"/>
      <c r="H24" s="154">
        <v>45474</v>
      </c>
      <c r="I24" s="176">
        <f t="shared" si="0"/>
        <v>0.47500000000000003</v>
      </c>
    </row>
    <row r="25" spans="1:9">
      <c r="A25" s="72">
        <v>19</v>
      </c>
      <c r="B25" s="68">
        <v>44378</v>
      </c>
      <c r="C25" s="93">
        <f>COUNTIFS('MAIN DATA, Orders'!$E:$E,"&lt;&gt;.",'MAIN DATA, Orders'!$Q:$Q,$A25,'MAIN DATA, Orders'!$C:$C,"Germany")</f>
        <v>0</v>
      </c>
      <c r="D25" s="93">
        <f>COUNTIFS('MAIN DATA, Orders'!$E:$E,"&lt;&gt;.",'MAIN DATA, Orders'!$Q:$Q,$A25,'MAIN DATA, Orders'!$C:$C,"Germany",'MAIN DATA, Orders'!$L:$L,".")</f>
        <v>0</v>
      </c>
      <c r="E25" s="15">
        <v>0</v>
      </c>
      <c r="F25" s="199"/>
      <c r="G25" s="199"/>
      <c r="H25" s="199"/>
      <c r="I25" s="199"/>
    </row>
    <row r="26" spans="1:9">
      <c r="A26" s="72">
        <v>20</v>
      </c>
      <c r="B26" s="68">
        <v>44409</v>
      </c>
      <c r="C26" s="93">
        <f>COUNTIFS('MAIN DATA, Orders'!$E:$E,"&lt;&gt;.",'MAIN DATA, Orders'!$Q:$Q,$A26,'MAIN DATA, Orders'!$C:$C,"Germany")</f>
        <v>0</v>
      </c>
      <c r="D26" s="93">
        <f>COUNTIFS('MAIN DATA, Orders'!$E:$E,"&lt;&gt;.",'MAIN DATA, Orders'!$Q:$Q,$A26,'MAIN DATA, Orders'!$C:$C,"Germany",'MAIN DATA, Orders'!$L:$L,".")</f>
        <v>0</v>
      </c>
      <c r="E26" s="15">
        <v>0</v>
      </c>
      <c r="F26" s="199"/>
      <c r="G26" s="199"/>
      <c r="H26" s="199"/>
      <c r="I26" s="199"/>
    </row>
    <row r="27" spans="1:9">
      <c r="A27" s="72">
        <v>21</v>
      </c>
      <c r="B27" s="68">
        <v>44440</v>
      </c>
      <c r="C27" s="93">
        <f>COUNTIFS('MAIN DATA, Orders'!$E:$E,"&lt;&gt;.",'MAIN DATA, Orders'!$Q:$Q,$A27,'MAIN DATA, Orders'!$C:$C,"Germany")</f>
        <v>0</v>
      </c>
      <c r="D27" s="93">
        <f>COUNTIFS('MAIN DATA, Orders'!$E:$E,"&lt;&gt;.",'MAIN DATA, Orders'!$Q:$Q,$A27,'MAIN DATA, Orders'!$C:$C,"Germany",'MAIN DATA, Orders'!$L:$L,".")</f>
        <v>0</v>
      </c>
      <c r="E27" s="15">
        <v>0</v>
      </c>
      <c r="F27" s="199"/>
      <c r="G27" s="199"/>
      <c r="H27" s="199"/>
      <c r="I27" s="199"/>
    </row>
    <row r="28" spans="1:9">
      <c r="A28" s="72">
        <v>22</v>
      </c>
      <c r="B28" s="68">
        <v>44470</v>
      </c>
      <c r="C28" s="93">
        <f>COUNTIFS('MAIN DATA, Orders'!$E:$E,"&lt;&gt;.",'MAIN DATA, Orders'!$Q:$Q,$A28,'MAIN DATA, Orders'!$C:$C,"Germany")</f>
        <v>0</v>
      </c>
      <c r="D28" s="93">
        <f>COUNTIFS('MAIN DATA, Orders'!$E:$E,"&lt;&gt;.",'MAIN DATA, Orders'!$Q:$Q,$A28,'MAIN DATA, Orders'!$C:$C,"Germany",'MAIN DATA, Orders'!$L:$L,".")</f>
        <v>0</v>
      </c>
      <c r="E28" s="15">
        <v>0</v>
      </c>
      <c r="F28" s="199"/>
      <c r="G28" s="199"/>
      <c r="H28" s="199"/>
      <c r="I28" s="199"/>
    </row>
    <row r="29" spans="1:9">
      <c r="A29" s="72">
        <v>23</v>
      </c>
      <c r="B29" s="68">
        <v>44501</v>
      </c>
      <c r="C29" s="93">
        <f>COUNTIFS('MAIN DATA, Orders'!$E:$E,"&lt;&gt;.",'MAIN DATA, Orders'!$Q:$Q,$A29,'MAIN DATA, Orders'!$C:$C,"Germany")</f>
        <v>0</v>
      </c>
      <c r="D29" s="93">
        <f>COUNTIFS('MAIN DATA, Orders'!$E:$E,"&lt;&gt;.",'MAIN DATA, Orders'!$Q:$Q,$A29,'MAIN DATA, Orders'!$C:$C,"Germany",'MAIN DATA, Orders'!$L:$L,".")</f>
        <v>0</v>
      </c>
      <c r="E29" s="15">
        <v>0</v>
      </c>
      <c r="F29" s="199"/>
      <c r="G29" s="199"/>
      <c r="H29" s="199"/>
      <c r="I29" s="199"/>
    </row>
    <row r="30" spans="1:9">
      <c r="A30" s="72">
        <v>24</v>
      </c>
      <c r="B30" s="68">
        <v>44531</v>
      </c>
      <c r="C30" s="93">
        <f>COUNTIFS('MAIN DATA, Orders'!$E:$E,"&lt;&gt;.",'MAIN DATA, Orders'!$Q:$Q,$A30,'MAIN DATA, Orders'!$C:$C,"Germany")</f>
        <v>0</v>
      </c>
      <c r="D30" s="93">
        <f>COUNTIFS('MAIN DATA, Orders'!$E:$E,"&lt;&gt;.",'MAIN DATA, Orders'!$Q:$Q,$A30,'MAIN DATA, Orders'!$C:$C,"Germany",'MAIN DATA, Orders'!$L:$L,".")</f>
        <v>0</v>
      </c>
      <c r="E30" s="15">
        <v>0</v>
      </c>
      <c r="F30" s="199"/>
      <c r="G30" s="199"/>
      <c r="H30" s="199"/>
      <c r="I30" s="199"/>
    </row>
    <row r="31" spans="1:9">
      <c r="A31" s="72">
        <v>25</v>
      </c>
      <c r="B31" s="68">
        <v>44562</v>
      </c>
      <c r="C31" s="93">
        <f>COUNTIFS('MAIN DATA, Orders'!$E:$E,"&lt;&gt;.",'MAIN DATA, Orders'!$Q:$Q,$A31,'MAIN DATA, Orders'!$C:$C,"Germany")</f>
        <v>0</v>
      </c>
      <c r="D31" s="93">
        <f>COUNTIFS('MAIN DATA, Orders'!$E:$E,"&lt;&gt;.",'MAIN DATA, Orders'!$Q:$Q,$A31,'MAIN DATA, Orders'!$C:$C,"Germany",'MAIN DATA, Orders'!$L:$L,".")</f>
        <v>0</v>
      </c>
      <c r="E31" s="15">
        <v>0</v>
      </c>
      <c r="F31" s="199"/>
      <c r="G31" s="199"/>
      <c r="H31" s="199"/>
      <c r="I31" s="199"/>
    </row>
    <row r="32" spans="1:9">
      <c r="A32" s="72">
        <v>26</v>
      </c>
      <c r="B32" s="68">
        <v>44593</v>
      </c>
      <c r="C32" s="93">
        <f>COUNTIFS('MAIN DATA, Orders'!$E:$E,"&lt;&gt;.",'MAIN DATA, Orders'!$Q:$Q,$A32,'MAIN DATA, Orders'!$C:$C,"Germany")</f>
        <v>0</v>
      </c>
      <c r="D32" s="93">
        <f>COUNTIFS('MAIN DATA, Orders'!$E:$E,"&lt;&gt;.",'MAIN DATA, Orders'!$Q:$Q,$A32,'MAIN DATA, Orders'!$C:$C,"Germany",'MAIN DATA, Orders'!$L:$L,".")</f>
        <v>0</v>
      </c>
      <c r="E32" s="15">
        <v>0</v>
      </c>
      <c r="F32" s="199"/>
      <c r="G32" s="199"/>
      <c r="H32" s="199"/>
      <c r="I32" s="199"/>
    </row>
    <row r="33" spans="1:5">
      <c r="A33" s="72">
        <v>27</v>
      </c>
      <c r="B33" s="68">
        <v>44621</v>
      </c>
      <c r="C33" s="93">
        <f>COUNTIFS('MAIN DATA, Orders'!$E:$E,"&lt;&gt;.",'MAIN DATA, Orders'!$Q:$Q,$A33,'MAIN DATA, Orders'!$C:$C,"Germany")</f>
        <v>0</v>
      </c>
      <c r="D33" s="93">
        <f>COUNTIFS('MAIN DATA, Orders'!$E:$E,"&lt;&gt;.",'MAIN DATA, Orders'!$Q:$Q,$A33,'MAIN DATA, Orders'!$C:$C,"Germany",'MAIN DATA, Orders'!$L:$L,".")</f>
        <v>0</v>
      </c>
      <c r="E33" s="15">
        <v>0</v>
      </c>
    </row>
    <row r="34" spans="1:5">
      <c r="A34" s="72">
        <v>28</v>
      </c>
      <c r="B34" s="68">
        <v>44652</v>
      </c>
      <c r="C34" s="93">
        <f>COUNTIFS('MAIN DATA, Orders'!$E:$E,"&lt;&gt;.",'MAIN DATA, Orders'!$Q:$Q,$A34,'MAIN DATA, Orders'!$C:$C,"Germany")</f>
        <v>1</v>
      </c>
      <c r="D34" s="93">
        <f>COUNTIFS('MAIN DATA, Orders'!$E:$E,"&lt;&gt;.",'MAIN DATA, Orders'!$Q:$Q,$A34,'MAIN DATA, Orders'!$C:$C,"Germany",'MAIN DATA, Orders'!$L:$L,".")</f>
        <v>1</v>
      </c>
      <c r="E34" s="15">
        <f t="shared" si="1"/>
        <v>1</v>
      </c>
    </row>
    <row r="35" spans="1:5">
      <c r="A35" s="72">
        <v>29</v>
      </c>
      <c r="B35" s="68">
        <v>44682</v>
      </c>
      <c r="C35" s="93">
        <f>COUNTIFS('MAIN DATA, Orders'!$E:$E,"&lt;&gt;.",'MAIN DATA, Orders'!$Q:$Q,$A35,'MAIN DATA, Orders'!$C:$C,"Germany")</f>
        <v>7</v>
      </c>
      <c r="D35" s="93">
        <f>COUNTIFS('MAIN DATA, Orders'!$E:$E,"&lt;&gt;.",'MAIN DATA, Orders'!$Q:$Q,$A35,'MAIN DATA, Orders'!$C:$C,"Germany",'MAIN DATA, Orders'!$L:$L,".")</f>
        <v>1</v>
      </c>
      <c r="E35" s="15">
        <f t="shared" si="1"/>
        <v>0.14285714285714285</v>
      </c>
    </row>
    <row r="36" spans="1:5">
      <c r="A36" s="72">
        <v>30</v>
      </c>
      <c r="B36" s="68">
        <v>44713</v>
      </c>
      <c r="C36" s="93">
        <f>COUNTIFS('MAIN DATA, Orders'!$E:$E,"&lt;&gt;.",'MAIN DATA, Orders'!$Q:$Q,$A36,'MAIN DATA, Orders'!$C:$C,"Germany")</f>
        <v>2</v>
      </c>
      <c r="D36" s="93">
        <f>COUNTIFS('MAIN DATA, Orders'!$E:$E,"&lt;&gt;.",'MAIN DATA, Orders'!$Q:$Q,$A36,'MAIN DATA, Orders'!$C:$C,"Germany",'MAIN DATA, Orders'!$L:$L,".")</f>
        <v>0</v>
      </c>
      <c r="E36" s="15">
        <f t="shared" si="1"/>
        <v>0</v>
      </c>
    </row>
    <row r="37" spans="1:5">
      <c r="A37" s="72">
        <v>31</v>
      </c>
      <c r="B37" s="68">
        <v>44743</v>
      </c>
      <c r="C37" s="93">
        <f>COUNTIFS('MAIN DATA, Orders'!$E:$E,"&lt;&gt;.",'MAIN DATA, Orders'!$Q:$Q,$A37,'MAIN DATA, Orders'!$C:$C,"Germany")</f>
        <v>4</v>
      </c>
      <c r="D37" s="93">
        <f>COUNTIFS('MAIN DATA, Orders'!$E:$E,"&lt;&gt;.",'MAIN DATA, Orders'!$Q:$Q,$A37,'MAIN DATA, Orders'!$C:$C,"Germany",'MAIN DATA, Orders'!$L:$L,".")</f>
        <v>1</v>
      </c>
      <c r="E37" s="15">
        <f t="shared" si="1"/>
        <v>0.25</v>
      </c>
    </row>
    <row r="38" spans="1:5">
      <c r="A38" s="72">
        <v>32</v>
      </c>
      <c r="B38" s="68">
        <v>44774</v>
      </c>
      <c r="C38" s="93">
        <f>COUNTIFS('MAIN DATA, Orders'!$E:$E,"&lt;&gt;.",'MAIN DATA, Orders'!$Q:$Q,$A38,'MAIN DATA, Orders'!$C:$C,"Germany")</f>
        <v>0</v>
      </c>
      <c r="D38" s="93">
        <f>COUNTIFS('MAIN DATA, Orders'!$E:$E,"&lt;&gt;.",'MAIN DATA, Orders'!$Q:$Q,$A38,'MAIN DATA, Orders'!$C:$C,"Germany",'MAIN DATA, Orders'!$L:$L,".")</f>
        <v>0</v>
      </c>
      <c r="E38" s="15">
        <v>0</v>
      </c>
    </row>
    <row r="39" spans="1:5">
      <c r="A39" s="72">
        <v>33</v>
      </c>
      <c r="B39" s="68">
        <v>44805</v>
      </c>
      <c r="C39" s="93">
        <f>COUNTIFS('MAIN DATA, Orders'!$E:$E,"&lt;&gt;.",'MAIN DATA, Orders'!$Q:$Q,$A39,'MAIN DATA, Orders'!$C:$C,"Germany")</f>
        <v>2</v>
      </c>
      <c r="D39" s="93">
        <f>COUNTIFS('MAIN DATA, Orders'!$E:$E,"&lt;&gt;.",'MAIN DATA, Orders'!$Q:$Q,$A39,'MAIN DATA, Orders'!$C:$C,"Germany",'MAIN DATA, Orders'!$L:$L,".")</f>
        <v>0</v>
      </c>
      <c r="E39" s="15">
        <f t="shared" si="1"/>
        <v>0</v>
      </c>
    </row>
    <row r="40" spans="1:5">
      <c r="A40" s="72">
        <v>34</v>
      </c>
      <c r="B40" s="68">
        <v>44835</v>
      </c>
      <c r="C40" s="93">
        <f>COUNTIFS('MAIN DATA, Orders'!$E:$E,"&lt;&gt;.",'MAIN DATA, Orders'!$Q:$Q,$A40,'MAIN DATA, Orders'!$C:$C,"Germany")</f>
        <v>2</v>
      </c>
      <c r="D40" s="93">
        <f>COUNTIFS('MAIN DATA, Orders'!$E:$E,"&lt;&gt;.",'MAIN DATA, Orders'!$Q:$Q,$A40,'MAIN DATA, Orders'!$C:$C,"Germany",'MAIN DATA, Orders'!$L:$L,".")</f>
        <v>0</v>
      </c>
      <c r="E40" s="15">
        <f t="shared" si="1"/>
        <v>0</v>
      </c>
    </row>
    <row r="41" spans="1:5">
      <c r="A41" s="72">
        <v>35</v>
      </c>
      <c r="B41" s="68">
        <v>44866</v>
      </c>
      <c r="C41" s="93">
        <f>COUNTIFS('MAIN DATA, Orders'!$E:$E,"&lt;&gt;.",'MAIN DATA, Orders'!$Q:$Q,$A41,'MAIN DATA, Orders'!$C:$C,"Germany")</f>
        <v>4</v>
      </c>
      <c r="D41" s="93">
        <f>COUNTIFS('MAIN DATA, Orders'!$E:$E,"&lt;&gt;.",'MAIN DATA, Orders'!$Q:$Q,$A41,'MAIN DATA, Orders'!$C:$C,"Germany",'MAIN DATA, Orders'!$L:$L,".")</f>
        <v>2</v>
      </c>
      <c r="E41" s="15">
        <f t="shared" si="1"/>
        <v>0.5</v>
      </c>
    </row>
    <row r="42" spans="1:5">
      <c r="A42" s="72">
        <v>36</v>
      </c>
      <c r="B42" s="68">
        <v>44896</v>
      </c>
      <c r="C42" s="93">
        <f>COUNTIFS('MAIN DATA, Orders'!$E:$E,"&lt;&gt;.",'MAIN DATA, Orders'!$Q:$Q,$A42,'MAIN DATA, Orders'!$C:$C,"Germany")</f>
        <v>7</v>
      </c>
      <c r="D42" s="93">
        <f>COUNTIFS('MAIN DATA, Orders'!$E:$E,"&lt;&gt;.",'MAIN DATA, Orders'!$Q:$Q,$A42,'MAIN DATA, Orders'!$C:$C,"Germany",'MAIN DATA, Orders'!$L:$L,".")</f>
        <v>2</v>
      </c>
      <c r="E42" s="15">
        <f t="shared" si="1"/>
        <v>0.2857142857142857</v>
      </c>
    </row>
    <row r="43" spans="1:5">
      <c r="A43" s="72">
        <v>37</v>
      </c>
      <c r="B43" s="68">
        <v>44927</v>
      </c>
      <c r="C43" s="93">
        <f>COUNTIFS('MAIN DATA, Orders'!$E:$E,"&lt;&gt;.",'MAIN DATA, Orders'!$Q:$Q,$A43,'MAIN DATA, Orders'!$C:$C,"Germany")</f>
        <v>0</v>
      </c>
      <c r="D43" s="93">
        <f>COUNTIFS('MAIN DATA, Orders'!$E:$E,"&lt;&gt;.",'MAIN DATA, Orders'!$Q:$Q,$A43,'MAIN DATA, Orders'!$C:$C,"Germany",'MAIN DATA, Orders'!$L:$L,".")</f>
        <v>0</v>
      </c>
      <c r="E43" s="15">
        <v>0</v>
      </c>
    </row>
    <row r="44" spans="1:5">
      <c r="A44" s="72">
        <v>38</v>
      </c>
      <c r="B44" s="68">
        <v>44958</v>
      </c>
      <c r="C44" s="93">
        <f>COUNTIFS('MAIN DATA, Orders'!$E:$E,"&lt;&gt;.",'MAIN DATA, Orders'!$Q:$Q,$A44,'MAIN DATA, Orders'!$C:$C,"Germany")</f>
        <v>2</v>
      </c>
      <c r="D44" s="93">
        <f>COUNTIFS('MAIN DATA, Orders'!$E:$E,"&lt;&gt;.",'MAIN DATA, Orders'!$Q:$Q,$A44,'MAIN DATA, Orders'!$C:$C,"Germany",'MAIN DATA, Orders'!$L:$L,".")</f>
        <v>0</v>
      </c>
      <c r="E44" s="15">
        <f t="shared" si="1"/>
        <v>0</v>
      </c>
    </row>
    <row r="45" spans="1:5">
      <c r="A45" s="72">
        <v>39</v>
      </c>
      <c r="B45" s="68">
        <v>44986</v>
      </c>
      <c r="C45" s="93">
        <f>COUNTIFS('MAIN DATA, Orders'!$E:$E,"&lt;&gt;.",'MAIN DATA, Orders'!$Q:$Q,$A45,'MAIN DATA, Orders'!$C:$C,"Germany")</f>
        <v>6</v>
      </c>
      <c r="D45" s="93">
        <f>COUNTIFS('MAIN DATA, Orders'!$E:$E,"&lt;&gt;.",'MAIN DATA, Orders'!$Q:$Q,$A45,'MAIN DATA, Orders'!$C:$C,"Germany",'MAIN DATA, Orders'!$L:$L,".")</f>
        <v>1</v>
      </c>
      <c r="E45" s="15">
        <f t="shared" si="1"/>
        <v>0.16666666666666666</v>
      </c>
    </row>
    <row r="46" spans="1:5">
      <c r="A46" s="72">
        <v>40</v>
      </c>
      <c r="B46" s="68">
        <v>45017</v>
      </c>
      <c r="C46" s="93">
        <f>COUNTIFS('MAIN DATA, Orders'!$E:$E,"&lt;&gt;.",'MAIN DATA, Orders'!$Q:$Q,$A46,'MAIN DATA, Orders'!$C:$C,"Germany")</f>
        <v>15</v>
      </c>
      <c r="D46" s="93">
        <f>COUNTIFS('MAIN DATA, Orders'!$E:$E,"&lt;&gt;.",'MAIN DATA, Orders'!$Q:$Q,$A46,'MAIN DATA, Orders'!$C:$C,"Germany",'MAIN DATA, Orders'!$L:$L,".")</f>
        <v>14</v>
      </c>
      <c r="E46" s="15">
        <f t="shared" si="1"/>
        <v>0.93333333333333335</v>
      </c>
    </row>
    <row r="47" spans="1:5">
      <c r="A47" s="72">
        <v>41</v>
      </c>
      <c r="B47" s="68">
        <v>45047</v>
      </c>
      <c r="C47" s="93">
        <f>COUNTIFS('MAIN DATA, Orders'!$E:$E,"&lt;&gt;.",'MAIN DATA, Orders'!$Q:$Q,$A47,'MAIN DATA, Orders'!$C:$C,"Germany")</f>
        <v>5</v>
      </c>
      <c r="D47" s="93">
        <f>COUNTIFS('MAIN DATA, Orders'!$E:$E,"&lt;&gt;.",'MAIN DATA, Orders'!$Q:$Q,$A47,'MAIN DATA, Orders'!$C:$C,"Germany",'MAIN DATA, Orders'!$L:$L,".")</f>
        <v>1</v>
      </c>
      <c r="E47" s="15">
        <f t="shared" si="1"/>
        <v>0.2</v>
      </c>
    </row>
    <row r="48" spans="1:5">
      <c r="A48" s="72">
        <v>42</v>
      </c>
      <c r="B48" s="68">
        <v>45078</v>
      </c>
      <c r="C48" s="93">
        <f>COUNTIFS('MAIN DATA, Orders'!$E:$E,"&lt;&gt;.",'MAIN DATA, Orders'!$Q:$Q,$A48,'MAIN DATA, Orders'!$C:$C,"Germany")</f>
        <v>5</v>
      </c>
      <c r="D48" s="93">
        <f>COUNTIFS('MAIN DATA, Orders'!$E:$E,"&lt;&gt;.",'MAIN DATA, Orders'!$Q:$Q,$A48,'MAIN DATA, Orders'!$C:$C,"Germany",'MAIN DATA, Orders'!$L:$L,".")</f>
        <v>2</v>
      </c>
      <c r="E48" s="15">
        <f t="shared" si="1"/>
        <v>0.4</v>
      </c>
    </row>
    <row r="49" spans="1:5">
      <c r="A49" s="72">
        <v>43</v>
      </c>
      <c r="B49" s="68">
        <v>45108</v>
      </c>
      <c r="C49" s="93">
        <f>COUNTIFS('MAIN DATA, Orders'!$E:$E,"&lt;&gt;.",'MAIN DATA, Orders'!$Q:$Q,$A49,'MAIN DATA, Orders'!$C:$C,"Germany")</f>
        <v>11</v>
      </c>
      <c r="D49" s="93">
        <f>COUNTIFS('MAIN DATA, Orders'!$E:$E,"&lt;&gt;.",'MAIN DATA, Orders'!$Q:$Q,$A49,'MAIN DATA, Orders'!$C:$C,"Germany",'MAIN DATA, Orders'!$L:$L,".")</f>
        <v>5</v>
      </c>
      <c r="E49" s="15">
        <f t="shared" si="1"/>
        <v>0.45454545454545453</v>
      </c>
    </row>
    <row r="50" spans="1:5">
      <c r="A50" s="72">
        <v>44</v>
      </c>
      <c r="B50" s="68">
        <v>45139</v>
      </c>
      <c r="C50" s="93">
        <f>COUNTIFS('MAIN DATA, Orders'!$E:$E,"&lt;&gt;.",'MAIN DATA, Orders'!$Q:$Q,$A50,'MAIN DATA, Orders'!$C:$C,"Germany")</f>
        <v>0</v>
      </c>
      <c r="D50" s="93">
        <f>COUNTIFS('MAIN DATA, Orders'!$E:$E,"&lt;&gt;.",'MAIN DATA, Orders'!$Q:$Q,$A50,'MAIN DATA, Orders'!$C:$C,"Germany",'MAIN DATA, Orders'!$L:$L,".")</f>
        <v>0</v>
      </c>
      <c r="E50" s="15">
        <v>0</v>
      </c>
    </row>
    <row r="51" spans="1:5">
      <c r="A51" s="72">
        <v>45</v>
      </c>
      <c r="B51" s="68">
        <v>45170</v>
      </c>
      <c r="C51" s="93">
        <f>COUNTIFS('MAIN DATA, Orders'!$E:$E,"&lt;&gt;.",'MAIN DATA, Orders'!$Q:$Q,$A51,'MAIN DATA, Orders'!$C:$C,"Germany")</f>
        <v>2</v>
      </c>
      <c r="D51" s="93">
        <f>COUNTIFS('MAIN DATA, Orders'!$E:$E,"&lt;&gt;.",'MAIN DATA, Orders'!$Q:$Q,$A51,'MAIN DATA, Orders'!$C:$C,"Germany",'MAIN DATA, Orders'!$L:$L,".")</f>
        <v>1</v>
      </c>
      <c r="E51" s="15">
        <f t="shared" si="1"/>
        <v>0.5</v>
      </c>
    </row>
    <row r="52" spans="1:5">
      <c r="A52" s="72">
        <v>46</v>
      </c>
      <c r="B52" s="68">
        <v>45200</v>
      </c>
      <c r="C52" s="93">
        <f>COUNTIFS('MAIN DATA, Orders'!$E:$E,"&lt;&gt;.",'MAIN DATA, Orders'!$Q:$Q,$A52,'MAIN DATA, Orders'!$C:$C,"Germany")</f>
        <v>7</v>
      </c>
      <c r="D52" s="93">
        <f>COUNTIFS('MAIN DATA, Orders'!$E:$E,"&lt;&gt;.",'MAIN DATA, Orders'!$Q:$Q,$A52,'MAIN DATA, Orders'!$C:$C,"Germany",'MAIN DATA, Orders'!$L:$L,".")</f>
        <v>1</v>
      </c>
      <c r="E52" s="15">
        <f t="shared" si="1"/>
        <v>0.14285714285714285</v>
      </c>
    </row>
    <row r="53" spans="1:5">
      <c r="A53" s="72">
        <v>47</v>
      </c>
      <c r="B53" s="68">
        <v>45231</v>
      </c>
      <c r="C53" s="93">
        <f>COUNTIFS('MAIN DATA, Orders'!$E:$E,"&lt;&gt;.",'MAIN DATA, Orders'!$Q:$Q,$A53,'MAIN DATA, Orders'!$C:$C,"Germany")</f>
        <v>7</v>
      </c>
      <c r="D53" s="93">
        <f>COUNTIFS('MAIN DATA, Orders'!$E:$E,"&lt;&gt;.",'MAIN DATA, Orders'!$Q:$Q,$A53,'MAIN DATA, Orders'!$C:$C,"Germany",'MAIN DATA, Orders'!$L:$L,".")</f>
        <v>3</v>
      </c>
      <c r="E53" s="15">
        <f t="shared" si="1"/>
        <v>0.42857142857142855</v>
      </c>
    </row>
    <row r="54" spans="1:5">
      <c r="A54" s="72">
        <v>48</v>
      </c>
      <c r="B54" s="68">
        <v>45261</v>
      </c>
      <c r="C54" s="93">
        <f>COUNTIFS('MAIN DATA, Orders'!$E:$E,"&lt;&gt;.",'MAIN DATA, Orders'!$Q:$Q,$A54,'MAIN DATA, Orders'!$C:$C,"Germany")</f>
        <v>9</v>
      </c>
      <c r="D54" s="93">
        <f>COUNTIFS('MAIN DATA, Orders'!$E:$E,"&lt;&gt;.",'MAIN DATA, Orders'!$Q:$Q,$A54,'MAIN DATA, Orders'!$C:$C,"Germany",'MAIN DATA, Orders'!$L:$L,".")</f>
        <v>4</v>
      </c>
      <c r="E54" s="15">
        <f t="shared" si="1"/>
        <v>0.44444444444444442</v>
      </c>
    </row>
    <row r="55" spans="1:5">
      <c r="A55" s="72">
        <v>49</v>
      </c>
      <c r="B55" s="68">
        <v>45292</v>
      </c>
      <c r="C55" s="93">
        <f>COUNTIFS('MAIN DATA, Orders'!$E:$E,"&lt;&gt;.",'MAIN DATA, Orders'!$Q:$Q,$A55,'MAIN DATA, Orders'!$C:$C,"Germany")</f>
        <v>1</v>
      </c>
      <c r="D55" s="93">
        <f>COUNTIFS('MAIN DATA, Orders'!$E:$E,"&lt;&gt;.",'MAIN DATA, Orders'!$Q:$Q,$A55,'MAIN DATA, Orders'!$C:$C,"Germany",'MAIN DATA, Orders'!$L:$L,".")</f>
        <v>1</v>
      </c>
      <c r="E55" s="15">
        <f t="shared" si="1"/>
        <v>1</v>
      </c>
    </row>
    <row r="56" spans="1:5">
      <c r="A56" s="72">
        <v>50</v>
      </c>
      <c r="B56" s="68">
        <v>45323</v>
      </c>
      <c r="C56" s="93">
        <f>COUNTIFS('MAIN DATA, Orders'!$E:$E,"&lt;&gt;.",'MAIN DATA, Orders'!$Q:$Q,$A56,'MAIN DATA, Orders'!$C:$C,"Germany")</f>
        <v>2</v>
      </c>
      <c r="D56" s="93">
        <f>COUNTIFS('MAIN DATA, Orders'!$E:$E,"&lt;&gt;.",'MAIN DATA, Orders'!$Q:$Q,$A56,'MAIN DATA, Orders'!$C:$C,"Germany",'MAIN DATA, Orders'!$L:$L,".")</f>
        <v>1</v>
      </c>
      <c r="E56" s="15">
        <f t="shared" si="1"/>
        <v>0.5</v>
      </c>
    </row>
    <row r="57" spans="1:5">
      <c r="A57" s="72">
        <v>51</v>
      </c>
      <c r="B57" s="68">
        <v>45352</v>
      </c>
      <c r="C57" s="93">
        <f>COUNTIFS('MAIN DATA, Orders'!$E:$E,"&lt;&gt;.",'MAIN DATA, Orders'!$Q:$Q,$A57,'MAIN DATA, Orders'!$C:$C,"Germany")</f>
        <v>8</v>
      </c>
      <c r="D57" s="93">
        <f>COUNTIFS('MAIN DATA, Orders'!$E:$E,"&lt;&gt;.",'MAIN DATA, Orders'!$Q:$Q,$A57,'MAIN DATA, Orders'!$C:$C,"Germany",'MAIN DATA, Orders'!$L:$L,".")</f>
        <v>3</v>
      </c>
      <c r="E57" s="15">
        <f t="shared" si="1"/>
        <v>0.375</v>
      </c>
    </row>
    <row r="58" spans="1:5">
      <c r="A58" s="72">
        <v>52</v>
      </c>
      <c r="B58" s="68">
        <v>45383</v>
      </c>
      <c r="C58" s="93">
        <f>COUNTIFS('MAIN DATA, Orders'!$E:$E,"&lt;&gt;.",'MAIN DATA, Orders'!$Q:$Q,$A58,'MAIN DATA, Orders'!$C:$C,"Germany")</f>
        <v>7</v>
      </c>
      <c r="D58" s="93">
        <f>COUNTIFS('MAIN DATA, Orders'!$E:$E,"&lt;&gt;.",'MAIN DATA, Orders'!$Q:$Q,$A58,'MAIN DATA, Orders'!$C:$C,"Germany",'MAIN DATA, Orders'!$L:$L,".")</f>
        <v>4</v>
      </c>
      <c r="E58" s="15">
        <f t="shared" si="1"/>
        <v>0.5714285714285714</v>
      </c>
    </row>
    <row r="59" spans="1:5">
      <c r="A59" s="72">
        <v>53</v>
      </c>
      <c r="B59" s="68">
        <v>45413</v>
      </c>
      <c r="C59" s="93">
        <f>COUNTIFS('MAIN DATA, Orders'!$E:$E,"&lt;&gt;.",'MAIN DATA, Orders'!$Q:$Q,$A59,'MAIN DATA, Orders'!$C:$C,"Germany")</f>
        <v>4</v>
      </c>
      <c r="D59" s="93">
        <f>COUNTIFS('MAIN DATA, Orders'!$E:$E,"&lt;&gt;.",'MAIN DATA, Orders'!$Q:$Q,$A59,'MAIN DATA, Orders'!$C:$C,"Germany",'MAIN DATA, Orders'!$L:$L,".")</f>
        <v>3</v>
      </c>
      <c r="E59" s="15">
        <f t="shared" si="1"/>
        <v>0.75</v>
      </c>
    </row>
    <row r="60" spans="1:5">
      <c r="A60" s="72">
        <v>54</v>
      </c>
      <c r="B60" s="68">
        <v>45444</v>
      </c>
      <c r="C60" s="93">
        <f>COUNTIFS('MAIN DATA, Orders'!$E:$E,"&lt;&gt;.",'MAIN DATA, Orders'!$Q:$Q,$A60,'MAIN DATA, Orders'!$C:$C,"Germany")</f>
        <v>20</v>
      </c>
      <c r="D60" s="93">
        <f>COUNTIFS('MAIN DATA, Orders'!$E:$E,"&lt;&gt;.",'MAIN DATA, Orders'!$Q:$Q,$A60,'MAIN DATA, Orders'!$C:$C,"Germany",'MAIN DATA, Orders'!$L:$L,".")</f>
        <v>11</v>
      </c>
      <c r="E60" s="15">
        <f t="shared" si="1"/>
        <v>0.55000000000000004</v>
      </c>
    </row>
    <row r="61" spans="1:5">
      <c r="A61" s="72">
        <v>55</v>
      </c>
      <c r="B61" s="155">
        <v>45474</v>
      </c>
      <c r="C61" s="156">
        <f>COUNTIFS('MAIN DATA, Orders'!$E:$E,"&lt;&gt;.",'MAIN DATA, Orders'!$Q:$Q,$A61,'MAIN DATA, Orders'!$C:$C,"Germany")</f>
        <v>8</v>
      </c>
      <c r="D61" s="156">
        <f>COUNTIFS('MAIN DATA, Orders'!$E:$E,"&lt;&gt;.",'MAIN DATA, Orders'!$Q:$Q,$A61,'MAIN DATA, Orders'!$C:$C,"Germany",'MAIN DATA, Orders'!$L:$L,".")</f>
        <v>1</v>
      </c>
      <c r="E61" s="157">
        <f t="shared" si="1"/>
        <v>0.125</v>
      </c>
    </row>
  </sheetData>
  <mergeCells count="1">
    <mergeCell ref="B4:E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306B8-9685-43FE-A54A-04AEF009D6F3}">
  <sheetPr>
    <tabColor theme="3" tint="0.499984740745262"/>
  </sheetPr>
  <dimension ref="A1:AW254"/>
  <sheetViews>
    <sheetView zoomScaleNormal="100" workbookViewId="0">
      <pane ySplit="1" topLeftCell="A2" activePane="bottomLeft" state="frozen"/>
      <selection pane="bottomLeft"/>
    </sheetView>
  </sheetViews>
  <sheetFormatPr defaultRowHeight="15.6"/>
  <cols>
    <col min="1" max="1" width="8.09765625" bestFit="1" customWidth="1"/>
    <col min="2" max="2" width="9.5" customWidth="1"/>
    <col min="3" max="3" width="17.69921875" bestFit="1" customWidth="1"/>
    <col min="4" max="4" width="19.3984375" bestFit="1" customWidth="1"/>
    <col min="5" max="5" width="46.09765625" customWidth="1"/>
    <col min="6" max="6" width="35.09765625" customWidth="1"/>
    <col min="7" max="7" width="19.5" customWidth="1"/>
    <col min="8" max="8" width="13.09765625" bestFit="1" customWidth="1"/>
    <col min="9" max="9" width="11.69921875" bestFit="1" customWidth="1"/>
    <col min="10" max="10" width="14.59765625" bestFit="1" customWidth="1"/>
    <col min="11" max="11" width="23.59765625" bestFit="1" customWidth="1"/>
    <col min="12" max="12" width="21.19921875" bestFit="1" customWidth="1"/>
    <col min="13" max="13" width="18.5" bestFit="1" customWidth="1"/>
    <col min="14" max="15" width="14.69921875" bestFit="1" customWidth="1"/>
    <col min="16" max="24" width="14.69921875" customWidth="1"/>
    <col min="25" max="25" width="16.8984375" customWidth="1"/>
    <col min="26" max="26" width="17.69921875" customWidth="1"/>
    <col min="27" max="27" width="20.3984375" customWidth="1"/>
    <col min="28" max="42" width="14.69921875" customWidth="1"/>
    <col min="46" max="46" width="11.19921875" customWidth="1"/>
    <col min="47" max="47" width="11.3984375" customWidth="1"/>
    <col min="48" max="48" width="11.09765625" customWidth="1"/>
  </cols>
  <sheetData>
    <row r="1" spans="1:49">
      <c r="A1" s="86" t="s">
        <v>22</v>
      </c>
      <c r="B1" s="86" t="s">
        <v>24</v>
      </c>
      <c r="C1" s="86" t="s">
        <v>26</v>
      </c>
      <c r="D1" s="86" t="s">
        <v>28</v>
      </c>
      <c r="E1" s="86" t="s">
        <v>30</v>
      </c>
      <c r="F1" s="86" t="s">
        <v>32</v>
      </c>
      <c r="G1" s="86" t="s">
        <v>34</v>
      </c>
      <c r="H1" s="86" t="s">
        <v>36</v>
      </c>
      <c r="I1" s="86" t="s">
        <v>38</v>
      </c>
      <c r="J1" s="86" t="s">
        <v>40</v>
      </c>
      <c r="K1" s="86" t="s">
        <v>42</v>
      </c>
      <c r="L1" s="86" t="s">
        <v>44</v>
      </c>
      <c r="M1" s="86" t="s">
        <v>46</v>
      </c>
      <c r="N1" s="86" t="s">
        <v>48</v>
      </c>
      <c r="O1" s="86" t="s">
        <v>50</v>
      </c>
      <c r="P1" s="86" t="s">
        <v>52</v>
      </c>
      <c r="Q1" s="86" t="s">
        <v>54</v>
      </c>
      <c r="R1" s="86" t="s">
        <v>56</v>
      </c>
      <c r="S1" s="86" t="s">
        <v>58</v>
      </c>
      <c r="T1" s="86" t="s">
        <v>60</v>
      </c>
      <c r="U1" s="86" t="s">
        <v>136</v>
      </c>
      <c r="V1" s="86" t="s">
        <v>63</v>
      </c>
      <c r="W1" s="86" t="s">
        <v>65</v>
      </c>
      <c r="X1" s="86" t="s">
        <v>67</v>
      </c>
      <c r="Y1" s="86" t="s">
        <v>69</v>
      </c>
      <c r="Z1" s="86" t="s">
        <v>71</v>
      </c>
      <c r="AA1" s="86" t="s">
        <v>73</v>
      </c>
      <c r="AB1" s="86" t="s">
        <v>75</v>
      </c>
      <c r="AC1" s="86" t="s">
        <v>77</v>
      </c>
      <c r="AD1" s="86" t="s">
        <v>79</v>
      </c>
      <c r="AE1" s="86" t="s">
        <v>81</v>
      </c>
      <c r="AF1" s="86" t="s">
        <v>83</v>
      </c>
      <c r="AG1" s="86" t="s">
        <v>85</v>
      </c>
      <c r="AH1" s="86" t="s">
        <v>87</v>
      </c>
      <c r="AI1" s="86" t="s">
        <v>89</v>
      </c>
      <c r="AJ1" s="86" t="s">
        <v>91</v>
      </c>
      <c r="AK1" s="86" t="s">
        <v>93</v>
      </c>
      <c r="AL1" s="86" t="s">
        <v>95</v>
      </c>
      <c r="AM1" s="86" t="s">
        <v>97</v>
      </c>
      <c r="AN1" s="86" t="s">
        <v>99</v>
      </c>
      <c r="AO1" s="86" t="s">
        <v>101</v>
      </c>
      <c r="AP1" s="86" t="s">
        <v>103</v>
      </c>
      <c r="AQ1" s="86" t="s">
        <v>105</v>
      </c>
      <c r="AR1" s="86" t="s">
        <v>107</v>
      </c>
      <c r="AS1" s="86" t="s">
        <v>109</v>
      </c>
      <c r="AT1" s="86" t="s">
        <v>111</v>
      </c>
      <c r="AU1" s="86" t="s">
        <v>113</v>
      </c>
      <c r="AV1" s="86" t="s">
        <v>115</v>
      </c>
      <c r="AW1" s="10"/>
    </row>
    <row r="2" spans="1:49">
      <c r="A2" s="10" t="s">
        <v>161</v>
      </c>
      <c r="B2" s="10" t="s">
        <v>162</v>
      </c>
      <c r="C2" s="10" t="s">
        <v>163</v>
      </c>
      <c r="D2" s="74">
        <v>43964</v>
      </c>
      <c r="E2" s="10" t="s">
        <v>164</v>
      </c>
      <c r="F2" s="75" t="str">
        <f>VLOOKUP($E2,'Item Classification'!B:C,2,0)</f>
        <v>Medium-altitude long-endurance (MALE) unmanned aerial vehicle (UAV)</v>
      </c>
      <c r="G2" s="10" t="str">
        <f>VLOOKUP($E2,'Item Classification'!B:D,3,0)</f>
        <v>Drone</v>
      </c>
      <c r="H2" s="76">
        <f>VLOOKUP($E2,'Item Classification'!B:E,4,0)</f>
        <v>7</v>
      </c>
      <c r="I2" s="81">
        <v>1</v>
      </c>
      <c r="J2" s="182">
        <f>M2/I2</f>
        <v>30000000</v>
      </c>
      <c r="K2" s="81">
        <v>2020</v>
      </c>
      <c r="L2" s="81">
        <v>2021</v>
      </c>
      <c r="M2" s="183">
        <v>30000000</v>
      </c>
      <c r="N2" s="10" t="s">
        <v>165</v>
      </c>
      <c r="O2" s="10" t="s">
        <v>162</v>
      </c>
      <c r="P2" s="10" t="s">
        <v>163</v>
      </c>
      <c r="Q2" s="77">
        <v>5</v>
      </c>
      <c r="R2" s="77">
        <v>1</v>
      </c>
      <c r="S2" s="77">
        <v>1</v>
      </c>
      <c r="T2" s="77">
        <v>0</v>
      </c>
      <c r="U2" s="77">
        <v>0</v>
      </c>
      <c r="V2" s="77">
        <v>0</v>
      </c>
      <c r="W2" s="77">
        <v>1</v>
      </c>
      <c r="X2" s="77">
        <v>1</v>
      </c>
      <c r="Y2" s="21" t="s">
        <v>166</v>
      </c>
      <c r="Z2" s="21" t="s">
        <v>167</v>
      </c>
      <c r="AA2" s="21" t="s">
        <v>162</v>
      </c>
      <c r="AB2" s="10" t="s">
        <v>168</v>
      </c>
      <c r="AC2" s="21" t="s">
        <v>162</v>
      </c>
      <c r="AD2" s="21" t="s">
        <v>162</v>
      </c>
      <c r="AE2" s="21" t="s">
        <v>162</v>
      </c>
      <c r="AF2" s="21" t="s">
        <v>163</v>
      </c>
      <c r="AG2" s="21" t="s">
        <v>162</v>
      </c>
      <c r="AH2" s="21" t="s">
        <v>162</v>
      </c>
      <c r="AI2" s="21" t="s">
        <v>162</v>
      </c>
      <c r="AJ2" s="21" t="s">
        <v>162</v>
      </c>
      <c r="AK2" s="21" t="s">
        <v>162</v>
      </c>
      <c r="AL2" s="21" t="s">
        <v>162</v>
      </c>
      <c r="AM2" s="21" t="s">
        <v>162</v>
      </c>
      <c r="AN2" s="21" t="s">
        <v>162</v>
      </c>
      <c r="AO2" s="10" t="s">
        <v>162</v>
      </c>
      <c r="AP2" s="21" t="s">
        <v>162</v>
      </c>
      <c r="AQ2" s="10" t="s">
        <v>169</v>
      </c>
      <c r="AR2" s="10" t="s">
        <v>170</v>
      </c>
      <c r="AS2" s="10" t="s">
        <v>162</v>
      </c>
      <c r="AT2" s="10" t="s">
        <v>171</v>
      </c>
      <c r="AU2" s="10" t="s">
        <v>162</v>
      </c>
      <c r="AV2" s="10" t="s">
        <v>162</v>
      </c>
      <c r="AW2" s="10"/>
    </row>
    <row r="3" spans="1:49">
      <c r="A3" s="10" t="s">
        <v>172</v>
      </c>
      <c r="B3" s="10" t="s">
        <v>173</v>
      </c>
      <c r="C3" s="10" t="s">
        <v>163</v>
      </c>
      <c r="D3" s="74">
        <v>44000</v>
      </c>
      <c r="E3" s="10" t="s">
        <v>174</v>
      </c>
      <c r="F3" s="75" t="str">
        <f>VLOOKUP($E3,'Item Classification'!B:C,2,0)</f>
        <v>Frigate</v>
      </c>
      <c r="G3" s="10" t="str">
        <f>VLOOKUP($E3,'Item Classification'!B:D,3,0)</f>
        <v>Naval</v>
      </c>
      <c r="H3" s="76">
        <f>VLOOKUP($E3,'Item Classification'!B:E,4,0)</f>
        <v>12</v>
      </c>
      <c r="I3" s="81">
        <v>4</v>
      </c>
      <c r="J3" s="182">
        <f>M3/I3</f>
        <v>1400000000</v>
      </c>
      <c r="K3" s="81">
        <v>2027</v>
      </c>
      <c r="L3" s="81">
        <v>2031</v>
      </c>
      <c r="M3" s="183">
        <v>5600000000</v>
      </c>
      <c r="N3" s="10" t="s">
        <v>165</v>
      </c>
      <c r="O3" s="10" t="s">
        <v>162</v>
      </c>
      <c r="P3" s="10" t="s">
        <v>163</v>
      </c>
      <c r="Q3" s="77">
        <v>6</v>
      </c>
      <c r="R3" s="77">
        <v>1</v>
      </c>
      <c r="S3" s="77">
        <v>0</v>
      </c>
      <c r="T3" s="77">
        <v>0</v>
      </c>
      <c r="U3" s="77">
        <v>1</v>
      </c>
      <c r="V3" s="77">
        <v>1</v>
      </c>
      <c r="W3" s="77">
        <v>0</v>
      </c>
      <c r="X3" s="77">
        <v>1</v>
      </c>
      <c r="Y3" s="10" t="s">
        <v>175</v>
      </c>
      <c r="Z3" s="21" t="s">
        <v>176</v>
      </c>
      <c r="AA3" s="21" t="s">
        <v>163</v>
      </c>
      <c r="AB3" s="10" t="s">
        <v>177</v>
      </c>
      <c r="AC3" s="21" t="s">
        <v>178</v>
      </c>
      <c r="AD3" s="21" t="s">
        <v>179</v>
      </c>
      <c r="AE3" s="21" t="s">
        <v>180</v>
      </c>
      <c r="AF3" s="21" t="s">
        <v>163</v>
      </c>
      <c r="AG3" s="21" t="s">
        <v>181</v>
      </c>
      <c r="AH3" s="21" t="s">
        <v>162</v>
      </c>
      <c r="AI3" s="21" t="s">
        <v>162</v>
      </c>
      <c r="AJ3" s="21" t="s">
        <v>162</v>
      </c>
      <c r="AK3" s="21" t="s">
        <v>162</v>
      </c>
      <c r="AL3" s="21" t="s">
        <v>162</v>
      </c>
      <c r="AM3" s="21" t="s">
        <v>162</v>
      </c>
      <c r="AN3" s="21" t="s">
        <v>162</v>
      </c>
      <c r="AO3" s="10" t="s">
        <v>162</v>
      </c>
      <c r="AP3" s="21" t="s">
        <v>162</v>
      </c>
      <c r="AQ3" s="10" t="s">
        <v>182</v>
      </c>
      <c r="AR3" s="10" t="s">
        <v>183</v>
      </c>
      <c r="AS3" s="10" t="s">
        <v>184</v>
      </c>
      <c r="AT3" s="10" t="s">
        <v>185</v>
      </c>
      <c r="AU3" s="10" t="s">
        <v>162</v>
      </c>
      <c r="AV3" s="10" t="s">
        <v>162</v>
      </c>
      <c r="AW3" s="10"/>
    </row>
    <row r="4" spans="1:49">
      <c r="A4" s="10" t="s">
        <v>186</v>
      </c>
      <c r="B4" s="10" t="s">
        <v>162</v>
      </c>
      <c r="C4" s="10" t="s">
        <v>163</v>
      </c>
      <c r="D4" s="74">
        <v>44000</v>
      </c>
      <c r="E4" s="10" t="s">
        <v>187</v>
      </c>
      <c r="F4" s="75" t="str">
        <f>VLOOKUP($E4,'Item Classification'!B:C,2,0)</f>
        <v>Radar technology for fighter jet</v>
      </c>
      <c r="G4" s="10" t="str">
        <f>VLOOKUP($E4,'Item Classification'!B:D,3,0)</f>
        <v>Aircraft</v>
      </c>
      <c r="H4" s="76">
        <f>VLOOKUP($E4,'Item Classification'!B:E,4,0)</f>
        <v>11</v>
      </c>
      <c r="I4" s="81" t="s">
        <v>162</v>
      </c>
      <c r="J4" s="81" t="s">
        <v>162</v>
      </c>
      <c r="K4" s="81" t="s">
        <v>162</v>
      </c>
      <c r="L4" s="81" t="s">
        <v>162</v>
      </c>
      <c r="M4" s="183">
        <v>2800000000</v>
      </c>
      <c r="N4" s="10" t="s">
        <v>165</v>
      </c>
      <c r="O4" s="10" t="s">
        <v>162</v>
      </c>
      <c r="P4" s="10" t="s">
        <v>163</v>
      </c>
      <c r="Q4" s="77">
        <v>6</v>
      </c>
      <c r="R4" s="77">
        <v>0</v>
      </c>
      <c r="S4" s="77">
        <v>0</v>
      </c>
      <c r="T4" s="77">
        <v>0</v>
      </c>
      <c r="U4" s="77">
        <v>1</v>
      </c>
      <c r="V4" s="77">
        <v>1</v>
      </c>
      <c r="W4" s="77">
        <v>0</v>
      </c>
      <c r="X4" s="77">
        <v>1</v>
      </c>
      <c r="Y4" s="21" t="s">
        <v>179</v>
      </c>
      <c r="Z4" s="21" t="s">
        <v>163</v>
      </c>
      <c r="AA4" s="21" t="s">
        <v>162</v>
      </c>
      <c r="AB4" s="10" t="s">
        <v>188</v>
      </c>
      <c r="AC4" s="21" t="s">
        <v>189</v>
      </c>
      <c r="AD4" s="21" t="s">
        <v>162</v>
      </c>
      <c r="AE4" s="21" t="s">
        <v>162</v>
      </c>
      <c r="AF4" s="21" t="s">
        <v>190</v>
      </c>
      <c r="AG4" s="21" t="s">
        <v>162</v>
      </c>
      <c r="AH4" s="21" t="s">
        <v>162</v>
      </c>
      <c r="AI4" s="21" t="s">
        <v>162</v>
      </c>
      <c r="AJ4" s="21" t="s">
        <v>162</v>
      </c>
      <c r="AK4" s="21" t="s">
        <v>162</v>
      </c>
      <c r="AL4" s="21" t="s">
        <v>162</v>
      </c>
      <c r="AM4" s="21" t="s">
        <v>162</v>
      </c>
      <c r="AN4" s="21" t="s">
        <v>162</v>
      </c>
      <c r="AO4" s="10" t="s">
        <v>162</v>
      </c>
      <c r="AP4" s="21" t="s">
        <v>162</v>
      </c>
      <c r="AQ4" s="10" t="s">
        <v>182</v>
      </c>
      <c r="AR4" s="10" t="s">
        <v>191</v>
      </c>
      <c r="AS4" s="10" t="s">
        <v>162</v>
      </c>
      <c r="AT4" s="10" t="s">
        <v>192</v>
      </c>
      <c r="AU4" s="10" t="s">
        <v>162</v>
      </c>
      <c r="AV4" s="10" t="s">
        <v>162</v>
      </c>
      <c r="AW4" s="10"/>
    </row>
    <row r="5" spans="1:49">
      <c r="A5" s="10" t="s">
        <v>193</v>
      </c>
      <c r="B5" s="10" t="s">
        <v>194</v>
      </c>
      <c r="C5" s="10" t="s">
        <v>163</v>
      </c>
      <c r="D5" s="74">
        <v>44000</v>
      </c>
      <c r="E5" s="10" t="s">
        <v>195</v>
      </c>
      <c r="F5" s="75" t="str">
        <f>VLOOKUP($E5,'Item Classification'!B:C,2,0)</f>
        <v>Communication and digitalisation</v>
      </c>
      <c r="G5" s="10" t="str">
        <f>VLOOKUP($E5,'Item Classification'!B:D,3,0)</f>
        <v>Modernisation</v>
      </c>
      <c r="H5" s="76">
        <f>VLOOKUP($E5,'Item Classification'!B:E,4,0)</f>
        <v>13</v>
      </c>
      <c r="I5" s="81">
        <v>4</v>
      </c>
      <c r="J5" s="182">
        <f>M5/I5</f>
        <v>1150000000</v>
      </c>
      <c r="K5" s="81">
        <v>2024</v>
      </c>
      <c r="L5" s="81">
        <v>2027</v>
      </c>
      <c r="M5" s="183">
        <v>4600000000</v>
      </c>
      <c r="N5" s="10" t="s">
        <v>165</v>
      </c>
      <c r="O5" s="10" t="s">
        <v>162</v>
      </c>
      <c r="P5" s="10" t="s">
        <v>163</v>
      </c>
      <c r="Q5" s="77">
        <v>6</v>
      </c>
      <c r="R5" s="77">
        <v>1</v>
      </c>
      <c r="S5" s="77">
        <v>1</v>
      </c>
      <c r="T5" s="77">
        <v>0</v>
      </c>
      <c r="U5" s="77">
        <v>1</v>
      </c>
      <c r="V5" s="77">
        <v>0</v>
      </c>
      <c r="W5" s="77">
        <v>0</v>
      </c>
      <c r="X5" s="77">
        <v>0</v>
      </c>
      <c r="Y5" s="10" t="s">
        <v>194</v>
      </c>
      <c r="Z5" s="10" t="s">
        <v>163</v>
      </c>
      <c r="AA5" s="21" t="s">
        <v>162</v>
      </c>
      <c r="AB5" s="10" t="s">
        <v>162</v>
      </c>
      <c r="AC5" s="21" t="s">
        <v>162</v>
      </c>
      <c r="AD5" s="21" t="s">
        <v>162</v>
      </c>
      <c r="AE5" s="21" t="s">
        <v>162</v>
      </c>
      <c r="AF5" s="21" t="s">
        <v>162</v>
      </c>
      <c r="AG5" s="21" t="s">
        <v>162</v>
      </c>
      <c r="AH5" s="21" t="s">
        <v>162</v>
      </c>
      <c r="AI5" s="21" t="s">
        <v>162</v>
      </c>
      <c r="AJ5" s="21" t="s">
        <v>162</v>
      </c>
      <c r="AK5" s="21" t="s">
        <v>162</v>
      </c>
      <c r="AL5" s="21" t="s">
        <v>162</v>
      </c>
      <c r="AM5" s="21" t="s">
        <v>162</v>
      </c>
      <c r="AN5" s="21" t="s">
        <v>162</v>
      </c>
      <c r="AO5" s="10" t="s">
        <v>162</v>
      </c>
      <c r="AP5" s="21" t="s">
        <v>162</v>
      </c>
      <c r="AQ5" s="10" t="s">
        <v>182</v>
      </c>
      <c r="AR5" s="10" t="s">
        <v>196</v>
      </c>
      <c r="AS5" s="10" t="s">
        <v>162</v>
      </c>
      <c r="AT5" s="10" t="s">
        <v>197</v>
      </c>
      <c r="AU5" s="10" t="s">
        <v>162</v>
      </c>
      <c r="AV5" s="10" t="s">
        <v>162</v>
      </c>
      <c r="AW5" s="10"/>
    </row>
    <row r="6" spans="1:49">
      <c r="A6" s="10" t="s">
        <v>198</v>
      </c>
      <c r="B6" s="10" t="s">
        <v>162</v>
      </c>
      <c r="C6" s="10" t="s">
        <v>163</v>
      </c>
      <c r="D6" s="74">
        <v>44054</v>
      </c>
      <c r="E6" s="10" t="s">
        <v>199</v>
      </c>
      <c r="F6" s="75" t="str">
        <f>VLOOKUP($E6,'Item Classification'!B:C,2,0)</f>
        <v>Communication and digitalisation</v>
      </c>
      <c r="G6" s="10" t="str">
        <f>VLOOKUP($E6,'Item Classification'!B:D,3,0)</f>
        <v>Modernisation</v>
      </c>
      <c r="H6" s="76">
        <f>VLOOKUP($E6,'Item Classification'!B:E,4,0)</f>
        <v>13</v>
      </c>
      <c r="I6" s="81" t="s">
        <v>162</v>
      </c>
      <c r="J6" s="81" t="s">
        <v>162</v>
      </c>
      <c r="K6" s="81" t="s">
        <v>162</v>
      </c>
      <c r="L6" s="81">
        <v>2023</v>
      </c>
      <c r="M6" s="183">
        <v>350000000</v>
      </c>
      <c r="N6" s="10" t="s">
        <v>165</v>
      </c>
      <c r="O6" s="10" t="s">
        <v>200</v>
      </c>
      <c r="P6" s="10" t="s">
        <v>163</v>
      </c>
      <c r="Q6" s="77">
        <v>8</v>
      </c>
      <c r="R6" s="77">
        <v>0</v>
      </c>
      <c r="S6" s="77">
        <v>0</v>
      </c>
      <c r="T6" s="77">
        <v>0</v>
      </c>
      <c r="U6" s="77">
        <v>1</v>
      </c>
      <c r="V6" s="77">
        <v>0</v>
      </c>
      <c r="W6" s="77">
        <v>0</v>
      </c>
      <c r="X6" s="77">
        <v>0</v>
      </c>
      <c r="Y6" s="21" t="s">
        <v>162</v>
      </c>
      <c r="Z6" s="21" t="s">
        <v>163</v>
      </c>
      <c r="AA6" s="21" t="s">
        <v>162</v>
      </c>
      <c r="AB6" s="10" t="s">
        <v>162</v>
      </c>
      <c r="AC6" s="21" t="s">
        <v>162</v>
      </c>
      <c r="AD6" s="21" t="s">
        <v>162</v>
      </c>
      <c r="AE6" s="21" t="s">
        <v>162</v>
      </c>
      <c r="AF6" s="21" t="s">
        <v>162</v>
      </c>
      <c r="AG6" s="21" t="s">
        <v>162</v>
      </c>
      <c r="AH6" s="21" t="s">
        <v>162</v>
      </c>
      <c r="AI6" s="21" t="s">
        <v>162</v>
      </c>
      <c r="AJ6" s="21" t="s">
        <v>162</v>
      </c>
      <c r="AK6" s="21" t="s">
        <v>162</v>
      </c>
      <c r="AL6" s="21" t="s">
        <v>162</v>
      </c>
      <c r="AM6" s="21" t="s">
        <v>162</v>
      </c>
      <c r="AN6" s="21" t="s">
        <v>162</v>
      </c>
      <c r="AO6" s="10" t="s">
        <v>162</v>
      </c>
      <c r="AP6" s="21" t="s">
        <v>162</v>
      </c>
      <c r="AQ6" s="10" t="s">
        <v>201</v>
      </c>
      <c r="AR6" s="10" t="s">
        <v>202</v>
      </c>
      <c r="AS6" s="10" t="s">
        <v>203</v>
      </c>
      <c r="AT6" s="10" t="s">
        <v>204</v>
      </c>
      <c r="AU6" s="10" t="s">
        <v>162</v>
      </c>
      <c r="AV6" s="10" t="s">
        <v>162</v>
      </c>
      <c r="AW6" s="10"/>
    </row>
    <row r="7" spans="1:49">
      <c r="A7" s="10" t="s">
        <v>205</v>
      </c>
      <c r="B7" s="10" t="s">
        <v>194</v>
      </c>
      <c r="C7" s="10" t="s">
        <v>163</v>
      </c>
      <c r="D7" s="74">
        <v>44084</v>
      </c>
      <c r="E7" s="10" t="s">
        <v>206</v>
      </c>
      <c r="F7" s="75" t="str">
        <f>VLOOKUP($E7,'Item Classification'!B:C,2,0)</f>
        <v>Communication and digitalisation</v>
      </c>
      <c r="G7" s="10" t="str">
        <f>VLOOKUP($E7,'Item Classification'!B:D,3,0)</f>
        <v>Modernisation</v>
      </c>
      <c r="H7" s="76">
        <f>VLOOKUP($E7,'Item Classification'!B:E,4,0)</f>
        <v>13</v>
      </c>
      <c r="I7" s="81">
        <v>7</v>
      </c>
      <c r="J7" s="182">
        <f>M7/I7</f>
        <v>228571428.57142857</v>
      </c>
      <c r="K7" s="81">
        <v>2021</v>
      </c>
      <c r="L7" s="81">
        <v>2027</v>
      </c>
      <c r="M7" s="183">
        <v>1600000000</v>
      </c>
      <c r="N7" s="10" t="s">
        <v>165</v>
      </c>
      <c r="O7" s="10" t="s">
        <v>162</v>
      </c>
      <c r="P7" s="10" t="s">
        <v>163</v>
      </c>
      <c r="Q7" s="77">
        <v>9</v>
      </c>
      <c r="R7" s="77">
        <v>1</v>
      </c>
      <c r="S7" s="77">
        <v>1</v>
      </c>
      <c r="T7" s="77">
        <v>0</v>
      </c>
      <c r="U7" s="77">
        <v>1</v>
      </c>
      <c r="V7" s="77">
        <v>0</v>
      </c>
      <c r="W7" s="77">
        <v>0</v>
      </c>
      <c r="X7" s="77">
        <v>0</v>
      </c>
      <c r="Y7" s="10" t="s">
        <v>194</v>
      </c>
      <c r="Z7" s="10" t="s">
        <v>163</v>
      </c>
      <c r="AA7" s="21" t="s">
        <v>162</v>
      </c>
      <c r="AB7" s="10" t="s">
        <v>162</v>
      </c>
      <c r="AC7" s="21" t="s">
        <v>162</v>
      </c>
      <c r="AD7" s="21" t="s">
        <v>162</v>
      </c>
      <c r="AE7" s="21" t="s">
        <v>162</v>
      </c>
      <c r="AF7" s="21" t="s">
        <v>162</v>
      </c>
      <c r="AG7" s="21" t="s">
        <v>162</v>
      </c>
      <c r="AH7" s="21" t="s">
        <v>162</v>
      </c>
      <c r="AI7" s="21" t="s">
        <v>162</v>
      </c>
      <c r="AJ7" s="21" t="s">
        <v>162</v>
      </c>
      <c r="AK7" s="21" t="s">
        <v>162</v>
      </c>
      <c r="AL7" s="21" t="s">
        <v>162</v>
      </c>
      <c r="AM7" s="21" t="s">
        <v>162</v>
      </c>
      <c r="AN7" s="21" t="s">
        <v>162</v>
      </c>
      <c r="AO7" s="10" t="s">
        <v>162</v>
      </c>
      <c r="AP7" s="21" t="s">
        <v>162</v>
      </c>
      <c r="AQ7" s="10" t="s">
        <v>207</v>
      </c>
      <c r="AR7" s="10" t="s">
        <v>208</v>
      </c>
      <c r="AS7" s="10" t="s">
        <v>162</v>
      </c>
      <c r="AT7" s="10" t="s">
        <v>209</v>
      </c>
      <c r="AU7" s="10" t="s">
        <v>162</v>
      </c>
      <c r="AV7" s="10" t="s">
        <v>162</v>
      </c>
      <c r="AW7" s="10"/>
    </row>
    <row r="8" spans="1:49">
      <c r="A8" s="10" t="s">
        <v>210</v>
      </c>
      <c r="B8" s="10" t="s">
        <v>162</v>
      </c>
      <c r="C8" s="10" t="s">
        <v>163</v>
      </c>
      <c r="D8" s="74">
        <v>44084</v>
      </c>
      <c r="E8" s="10" t="s">
        <v>162</v>
      </c>
      <c r="F8" s="75" t="s">
        <v>211</v>
      </c>
      <c r="G8" s="10" t="s">
        <v>212</v>
      </c>
      <c r="H8" s="76">
        <v>11</v>
      </c>
      <c r="I8" s="81" t="s">
        <v>162</v>
      </c>
      <c r="J8" s="81" t="s">
        <v>162</v>
      </c>
      <c r="K8" s="81" t="s">
        <v>162</v>
      </c>
      <c r="L8" s="81" t="s">
        <v>162</v>
      </c>
      <c r="M8" s="183">
        <v>213000000</v>
      </c>
      <c r="N8" s="10" t="s">
        <v>165</v>
      </c>
      <c r="O8" s="10" t="s">
        <v>162</v>
      </c>
      <c r="P8" s="10" t="s">
        <v>163</v>
      </c>
      <c r="Q8" s="77">
        <v>9</v>
      </c>
      <c r="R8" s="77">
        <v>0</v>
      </c>
      <c r="S8" s="77">
        <v>0</v>
      </c>
      <c r="T8" s="77">
        <v>0</v>
      </c>
      <c r="U8" s="77">
        <v>1</v>
      </c>
      <c r="V8" s="77">
        <v>0</v>
      </c>
      <c r="W8" s="77">
        <v>1</v>
      </c>
      <c r="X8" s="77">
        <v>1</v>
      </c>
      <c r="Y8" s="10" t="s">
        <v>213</v>
      </c>
      <c r="Z8" s="10" t="s">
        <v>163</v>
      </c>
      <c r="AA8" s="21" t="s">
        <v>162</v>
      </c>
      <c r="AB8" s="10" t="s">
        <v>214</v>
      </c>
      <c r="AC8" s="21" t="s">
        <v>215</v>
      </c>
      <c r="AD8" s="21" t="s">
        <v>216</v>
      </c>
      <c r="AE8" s="21" t="s">
        <v>217</v>
      </c>
      <c r="AF8" s="21" t="s">
        <v>218</v>
      </c>
      <c r="AG8" s="21" t="s">
        <v>219</v>
      </c>
      <c r="AH8" s="21" t="s">
        <v>162</v>
      </c>
      <c r="AI8" s="21" t="s">
        <v>162</v>
      </c>
      <c r="AJ8" s="21" t="s">
        <v>162</v>
      </c>
      <c r="AK8" s="21" t="s">
        <v>162</v>
      </c>
      <c r="AL8" s="21" t="s">
        <v>162</v>
      </c>
      <c r="AM8" s="21" t="s">
        <v>162</v>
      </c>
      <c r="AN8" s="21" t="s">
        <v>162</v>
      </c>
      <c r="AO8" s="10" t="s">
        <v>162</v>
      </c>
      <c r="AP8" s="21" t="s">
        <v>162</v>
      </c>
      <c r="AQ8" s="10" t="s">
        <v>207</v>
      </c>
      <c r="AR8" s="10" t="s">
        <v>220</v>
      </c>
      <c r="AS8" s="10" t="s">
        <v>208</v>
      </c>
      <c r="AT8" s="10" t="s">
        <v>221</v>
      </c>
      <c r="AU8" s="10" t="s">
        <v>162</v>
      </c>
      <c r="AV8" s="10" t="s">
        <v>162</v>
      </c>
      <c r="AW8" s="10"/>
    </row>
    <row r="9" spans="1:49">
      <c r="A9" s="10" t="s">
        <v>222</v>
      </c>
      <c r="B9" s="10" t="s">
        <v>162</v>
      </c>
      <c r="C9" s="10" t="s">
        <v>163</v>
      </c>
      <c r="D9" s="74">
        <v>44084</v>
      </c>
      <c r="E9" s="10" t="s">
        <v>223</v>
      </c>
      <c r="F9" s="75" t="str">
        <f>VLOOKUP($E9,'Item Classification'!B:C,2,0)</f>
        <v>Fighter aircraft guided bomb</v>
      </c>
      <c r="G9" s="10" t="str">
        <f>VLOOKUP($E9,'Item Classification'!B:D,3,0)</f>
        <v>Aircraft</v>
      </c>
      <c r="H9" s="76">
        <f>VLOOKUP($E9,'Item Classification'!B:E,4,0)</f>
        <v>11</v>
      </c>
      <c r="I9" s="81">
        <v>2290</v>
      </c>
      <c r="J9" s="81" t="s">
        <v>162</v>
      </c>
      <c r="K9" s="81" t="s">
        <v>162</v>
      </c>
      <c r="L9" s="81" t="s">
        <v>162</v>
      </c>
      <c r="M9" s="81" t="s">
        <v>162</v>
      </c>
      <c r="N9" s="10" t="s">
        <v>165</v>
      </c>
      <c r="O9" s="10" t="s">
        <v>162</v>
      </c>
      <c r="P9" s="10" t="s">
        <v>163</v>
      </c>
      <c r="Q9" s="77">
        <v>9</v>
      </c>
      <c r="R9" s="77">
        <v>0</v>
      </c>
      <c r="S9" s="77">
        <v>0</v>
      </c>
      <c r="T9" s="77">
        <v>0</v>
      </c>
      <c r="U9" s="77">
        <v>1</v>
      </c>
      <c r="V9" s="77">
        <v>0</v>
      </c>
      <c r="W9" s="77">
        <v>1</v>
      </c>
      <c r="X9" s="77">
        <v>1</v>
      </c>
      <c r="Y9" s="10" t="s">
        <v>213</v>
      </c>
      <c r="Z9" s="10" t="s">
        <v>163</v>
      </c>
      <c r="AA9" s="21" t="s">
        <v>162</v>
      </c>
      <c r="AB9" s="10" t="s">
        <v>214</v>
      </c>
      <c r="AC9" s="21" t="s">
        <v>215</v>
      </c>
      <c r="AD9" s="21" t="s">
        <v>216</v>
      </c>
      <c r="AE9" s="21" t="s">
        <v>217</v>
      </c>
      <c r="AF9" s="21" t="s">
        <v>218</v>
      </c>
      <c r="AG9" s="21" t="s">
        <v>219</v>
      </c>
      <c r="AH9" s="21" t="s">
        <v>162</v>
      </c>
      <c r="AI9" s="21" t="s">
        <v>162</v>
      </c>
      <c r="AJ9" s="21" t="s">
        <v>162</v>
      </c>
      <c r="AK9" s="21" t="s">
        <v>162</v>
      </c>
      <c r="AL9" s="21" t="s">
        <v>162</v>
      </c>
      <c r="AM9" s="21" t="s">
        <v>162</v>
      </c>
      <c r="AN9" s="21" t="s">
        <v>162</v>
      </c>
      <c r="AO9" s="10" t="s">
        <v>162</v>
      </c>
      <c r="AP9" s="21" t="s">
        <v>162</v>
      </c>
      <c r="AQ9" s="10" t="s">
        <v>207</v>
      </c>
      <c r="AR9" s="10" t="s">
        <v>220</v>
      </c>
      <c r="AS9" s="10" t="s">
        <v>208</v>
      </c>
      <c r="AT9" s="10" t="s">
        <v>221</v>
      </c>
      <c r="AU9" s="10" t="s">
        <v>162</v>
      </c>
      <c r="AV9" s="10" t="s">
        <v>162</v>
      </c>
      <c r="AW9" s="10"/>
    </row>
    <row r="10" spans="1:49">
      <c r="A10" s="10" t="s">
        <v>224</v>
      </c>
      <c r="B10" s="10" t="s">
        <v>162</v>
      </c>
      <c r="C10" s="10" t="s">
        <v>163</v>
      </c>
      <c r="D10" s="74">
        <v>44084</v>
      </c>
      <c r="E10" s="10" t="s">
        <v>225</v>
      </c>
      <c r="F10" s="75" t="str">
        <f>VLOOKUP($E10,'Item Classification'!B:C,2,0)</f>
        <v>Fighter aircraft guided bomb</v>
      </c>
      <c r="G10" s="10" t="str">
        <f>VLOOKUP($E10,'Item Classification'!B:D,3,0)</f>
        <v>Aircraft</v>
      </c>
      <c r="H10" s="76">
        <f>VLOOKUP($E10,'Item Classification'!B:E,4,0)</f>
        <v>11</v>
      </c>
      <c r="I10" s="81">
        <v>2290</v>
      </c>
      <c r="J10" s="81" t="s">
        <v>162</v>
      </c>
      <c r="K10" s="81" t="s">
        <v>162</v>
      </c>
      <c r="L10" s="81" t="s">
        <v>162</v>
      </c>
      <c r="M10" s="81" t="s">
        <v>162</v>
      </c>
      <c r="N10" s="10" t="s">
        <v>165</v>
      </c>
      <c r="O10" s="10" t="s">
        <v>162</v>
      </c>
      <c r="P10" s="10" t="s">
        <v>163</v>
      </c>
      <c r="Q10" s="77">
        <v>9</v>
      </c>
      <c r="R10" s="77">
        <v>0</v>
      </c>
      <c r="S10" s="77">
        <v>0</v>
      </c>
      <c r="T10" s="77">
        <v>0</v>
      </c>
      <c r="U10" s="77">
        <v>1</v>
      </c>
      <c r="V10" s="77">
        <v>0</v>
      </c>
      <c r="W10" s="77">
        <v>1</v>
      </c>
      <c r="X10" s="77">
        <v>1</v>
      </c>
      <c r="Y10" s="10" t="s">
        <v>213</v>
      </c>
      <c r="Z10" s="10" t="s">
        <v>163</v>
      </c>
      <c r="AA10" s="21" t="s">
        <v>162</v>
      </c>
      <c r="AB10" s="10" t="s">
        <v>214</v>
      </c>
      <c r="AC10" s="21" t="s">
        <v>215</v>
      </c>
      <c r="AD10" s="21" t="s">
        <v>216</v>
      </c>
      <c r="AE10" s="21" t="s">
        <v>217</v>
      </c>
      <c r="AF10" s="21" t="s">
        <v>218</v>
      </c>
      <c r="AG10" s="21" t="s">
        <v>219</v>
      </c>
      <c r="AH10" s="21" t="s">
        <v>162</v>
      </c>
      <c r="AI10" s="21" t="s">
        <v>162</v>
      </c>
      <c r="AJ10" s="21" t="s">
        <v>162</v>
      </c>
      <c r="AK10" s="21" t="s">
        <v>162</v>
      </c>
      <c r="AL10" s="21" t="s">
        <v>162</v>
      </c>
      <c r="AM10" s="21" t="s">
        <v>162</v>
      </c>
      <c r="AN10" s="21" t="s">
        <v>162</v>
      </c>
      <c r="AO10" s="10" t="s">
        <v>162</v>
      </c>
      <c r="AP10" s="21" t="s">
        <v>162</v>
      </c>
      <c r="AQ10" s="10" t="s">
        <v>207</v>
      </c>
      <c r="AR10" s="10" t="s">
        <v>220</v>
      </c>
      <c r="AS10" s="10" t="s">
        <v>208</v>
      </c>
      <c r="AT10" s="10" t="s">
        <v>221</v>
      </c>
      <c r="AU10" s="10" t="s">
        <v>162</v>
      </c>
      <c r="AV10" s="10" t="s">
        <v>162</v>
      </c>
      <c r="AW10" s="10"/>
    </row>
    <row r="11" spans="1:49">
      <c r="A11" s="10" t="s">
        <v>226</v>
      </c>
      <c r="B11" s="10" t="s">
        <v>162</v>
      </c>
      <c r="C11" s="10" t="s">
        <v>163</v>
      </c>
      <c r="D11" s="74">
        <v>44084</v>
      </c>
      <c r="E11" s="10" t="s">
        <v>227</v>
      </c>
      <c r="F11" s="75" t="str">
        <f>VLOOKUP($E11,'Item Classification'!B:C,2,0)</f>
        <v>Fighter aircraft guided bomb</v>
      </c>
      <c r="G11" s="10" t="str">
        <f>VLOOKUP($E11,'Item Classification'!B:D,3,0)</f>
        <v>Aircraft</v>
      </c>
      <c r="H11" s="76">
        <f>VLOOKUP($E11,'Item Classification'!B:E,4,0)</f>
        <v>11</v>
      </c>
      <c r="I11" s="81">
        <v>910</v>
      </c>
      <c r="J11" s="81" t="s">
        <v>162</v>
      </c>
      <c r="K11" s="81" t="s">
        <v>162</v>
      </c>
      <c r="L11" s="81" t="s">
        <v>162</v>
      </c>
      <c r="M11" s="81" t="s">
        <v>162</v>
      </c>
      <c r="N11" s="10" t="s">
        <v>165</v>
      </c>
      <c r="O11" s="10" t="s">
        <v>162</v>
      </c>
      <c r="P11" s="10" t="s">
        <v>163</v>
      </c>
      <c r="Q11" s="77">
        <v>9</v>
      </c>
      <c r="R11" s="77">
        <v>0</v>
      </c>
      <c r="S11" s="77">
        <v>0</v>
      </c>
      <c r="T11" s="77">
        <v>0</v>
      </c>
      <c r="U11" s="77">
        <v>1</v>
      </c>
      <c r="V11" s="77">
        <v>0</v>
      </c>
      <c r="W11" s="77">
        <v>1</v>
      </c>
      <c r="X11" s="77">
        <v>1</v>
      </c>
      <c r="Y11" s="10" t="s">
        <v>213</v>
      </c>
      <c r="Z11" s="10" t="s">
        <v>163</v>
      </c>
      <c r="AA11" s="21" t="s">
        <v>162</v>
      </c>
      <c r="AB11" s="10" t="s">
        <v>214</v>
      </c>
      <c r="AC11" s="21" t="s">
        <v>215</v>
      </c>
      <c r="AD11" s="21" t="s">
        <v>216</v>
      </c>
      <c r="AE11" s="21" t="s">
        <v>217</v>
      </c>
      <c r="AF11" s="21" t="s">
        <v>218</v>
      </c>
      <c r="AG11" s="21" t="s">
        <v>219</v>
      </c>
      <c r="AH11" s="21" t="s">
        <v>162</v>
      </c>
      <c r="AI11" s="21" t="s">
        <v>162</v>
      </c>
      <c r="AJ11" s="21" t="s">
        <v>162</v>
      </c>
      <c r="AK11" s="21" t="s">
        <v>162</v>
      </c>
      <c r="AL11" s="21" t="s">
        <v>162</v>
      </c>
      <c r="AM11" s="21" t="s">
        <v>162</v>
      </c>
      <c r="AN11" s="21" t="s">
        <v>162</v>
      </c>
      <c r="AO11" s="10" t="s">
        <v>162</v>
      </c>
      <c r="AP11" s="21" t="s">
        <v>162</v>
      </c>
      <c r="AQ11" s="10" t="s">
        <v>207</v>
      </c>
      <c r="AR11" s="10" t="s">
        <v>220</v>
      </c>
      <c r="AS11" s="10" t="s">
        <v>208</v>
      </c>
      <c r="AT11" s="10" t="s">
        <v>221</v>
      </c>
      <c r="AU11" s="10" t="s">
        <v>162</v>
      </c>
      <c r="AV11" s="10" t="s">
        <v>162</v>
      </c>
      <c r="AW11" s="10"/>
    </row>
    <row r="12" spans="1:49">
      <c r="A12" s="10" t="s">
        <v>228</v>
      </c>
      <c r="B12" s="10" t="s">
        <v>229</v>
      </c>
      <c r="C12" s="10" t="s">
        <v>163</v>
      </c>
      <c r="D12" s="74">
        <v>44084</v>
      </c>
      <c r="E12" s="10" t="s">
        <v>230</v>
      </c>
      <c r="F12" s="75" t="str">
        <f>VLOOKUP($E12,'Item Classification'!B:C,2,0)</f>
        <v>Surface-to-surface (SSM) missile</v>
      </c>
      <c r="G12" s="10" t="str">
        <f>VLOOKUP($E12,'Item Classification'!B:D,3,0)</f>
        <v>Missile (Naval)</v>
      </c>
      <c r="H12" s="76">
        <f>VLOOKUP($E12,'Item Classification'!B:E,4,0)</f>
        <v>6</v>
      </c>
      <c r="I12" s="81">
        <v>75</v>
      </c>
      <c r="J12" s="182">
        <f>M12/I12</f>
        <v>3800000</v>
      </c>
      <c r="K12" s="81">
        <v>2022</v>
      </c>
      <c r="L12" s="81">
        <v>2026</v>
      </c>
      <c r="M12" s="183">
        <v>285000000</v>
      </c>
      <c r="N12" s="10" t="s">
        <v>165</v>
      </c>
      <c r="O12" s="10" t="s">
        <v>162</v>
      </c>
      <c r="P12" s="10" t="s">
        <v>163</v>
      </c>
      <c r="Q12" s="77">
        <v>9</v>
      </c>
      <c r="R12" s="77">
        <v>1</v>
      </c>
      <c r="S12" s="77">
        <v>0</v>
      </c>
      <c r="T12" s="77">
        <v>0</v>
      </c>
      <c r="U12" s="77">
        <v>1</v>
      </c>
      <c r="V12" s="77">
        <v>1</v>
      </c>
      <c r="W12" s="77">
        <v>0</v>
      </c>
      <c r="X12" s="77">
        <v>1</v>
      </c>
      <c r="Y12" s="10" t="s">
        <v>213</v>
      </c>
      <c r="Z12" s="10" t="s">
        <v>163</v>
      </c>
      <c r="AA12" s="21" t="s">
        <v>163</v>
      </c>
      <c r="AB12" s="10" t="s">
        <v>231</v>
      </c>
      <c r="AC12" s="21" t="s">
        <v>162</v>
      </c>
      <c r="AD12" s="21" t="s">
        <v>162</v>
      </c>
      <c r="AE12" s="21" t="s">
        <v>162</v>
      </c>
      <c r="AF12" s="21" t="s">
        <v>232</v>
      </c>
      <c r="AG12" s="21" t="s">
        <v>162</v>
      </c>
      <c r="AH12" s="21" t="s">
        <v>162</v>
      </c>
      <c r="AI12" s="21" t="s">
        <v>162</v>
      </c>
      <c r="AJ12" s="21" t="s">
        <v>162</v>
      </c>
      <c r="AK12" s="21" t="s">
        <v>162</v>
      </c>
      <c r="AL12" s="21" t="s">
        <v>162</v>
      </c>
      <c r="AM12" s="21" t="s">
        <v>162</v>
      </c>
      <c r="AN12" s="21" t="s">
        <v>162</v>
      </c>
      <c r="AO12" s="10" t="s">
        <v>162</v>
      </c>
      <c r="AP12" s="21" t="s">
        <v>162</v>
      </c>
      <c r="AQ12" s="10" t="s">
        <v>207</v>
      </c>
      <c r="AR12" s="10" t="s">
        <v>233</v>
      </c>
      <c r="AS12" s="10" t="s">
        <v>208</v>
      </c>
      <c r="AT12" s="10" t="s">
        <v>234</v>
      </c>
      <c r="AU12" s="10" t="s">
        <v>162</v>
      </c>
      <c r="AV12" s="10" t="s">
        <v>162</v>
      </c>
      <c r="AW12" s="10"/>
    </row>
    <row r="13" spans="1:49">
      <c r="A13" s="10" t="s">
        <v>235</v>
      </c>
      <c r="B13" s="10" t="s">
        <v>229</v>
      </c>
      <c r="C13" s="10" t="s">
        <v>163</v>
      </c>
      <c r="D13" s="74">
        <v>44084</v>
      </c>
      <c r="E13" s="10" t="s">
        <v>236</v>
      </c>
      <c r="F13" s="75" t="str">
        <f>VLOOKUP($E13,'Item Classification'!B:C,2,0)</f>
        <v>Surface-to-surface (SSM) missile - additional services</v>
      </c>
      <c r="G13" s="10" t="str">
        <f>VLOOKUP($E13,'Item Classification'!B:D,3,0)</f>
        <v>Missile (Naval)</v>
      </c>
      <c r="H13" s="76">
        <f>VLOOKUP($E13,'Item Classification'!B:E,4,0)</f>
        <v>6</v>
      </c>
      <c r="I13" s="81" t="s">
        <v>162</v>
      </c>
      <c r="J13" s="81" t="s">
        <v>162</v>
      </c>
      <c r="K13" s="81">
        <v>2022</v>
      </c>
      <c r="L13" s="81">
        <v>2026</v>
      </c>
      <c r="M13" s="183">
        <v>6000000</v>
      </c>
      <c r="N13" s="10" t="s">
        <v>165</v>
      </c>
      <c r="O13" s="10" t="s">
        <v>162</v>
      </c>
      <c r="P13" s="10" t="s">
        <v>163</v>
      </c>
      <c r="Q13" s="77">
        <v>9</v>
      </c>
      <c r="R13" s="77">
        <v>1</v>
      </c>
      <c r="S13" s="77">
        <v>0</v>
      </c>
      <c r="T13" s="77">
        <v>0</v>
      </c>
      <c r="U13" s="77">
        <v>1</v>
      </c>
      <c r="V13" s="77">
        <v>1</v>
      </c>
      <c r="W13" s="77">
        <v>0</v>
      </c>
      <c r="X13" s="77">
        <v>1</v>
      </c>
      <c r="Y13" s="10" t="s">
        <v>213</v>
      </c>
      <c r="Z13" s="10" t="s">
        <v>163</v>
      </c>
      <c r="AA13" s="21" t="s">
        <v>163</v>
      </c>
      <c r="AB13" s="10" t="s">
        <v>231</v>
      </c>
      <c r="AC13" s="21" t="s">
        <v>162</v>
      </c>
      <c r="AD13" s="21" t="s">
        <v>162</v>
      </c>
      <c r="AE13" s="21" t="s">
        <v>162</v>
      </c>
      <c r="AF13" s="21" t="s">
        <v>232</v>
      </c>
      <c r="AG13" s="21" t="s">
        <v>162</v>
      </c>
      <c r="AH13" s="21" t="s">
        <v>162</v>
      </c>
      <c r="AI13" s="21" t="s">
        <v>162</v>
      </c>
      <c r="AJ13" s="21" t="s">
        <v>162</v>
      </c>
      <c r="AK13" s="21" t="s">
        <v>162</v>
      </c>
      <c r="AL13" s="21" t="s">
        <v>162</v>
      </c>
      <c r="AM13" s="21" t="s">
        <v>162</v>
      </c>
      <c r="AN13" s="21" t="s">
        <v>162</v>
      </c>
      <c r="AO13" s="10" t="s">
        <v>162</v>
      </c>
      <c r="AP13" s="21" t="s">
        <v>162</v>
      </c>
      <c r="AQ13" s="10" t="s">
        <v>207</v>
      </c>
      <c r="AR13" s="10" t="s">
        <v>233</v>
      </c>
      <c r="AS13" s="10" t="s">
        <v>208</v>
      </c>
      <c r="AT13" s="10" t="s">
        <v>237</v>
      </c>
      <c r="AU13" s="10" t="s">
        <v>162</v>
      </c>
      <c r="AV13" s="10" t="s">
        <v>162</v>
      </c>
      <c r="AW13" s="10"/>
    </row>
    <row r="14" spans="1:49">
      <c r="A14" s="10" t="s">
        <v>238</v>
      </c>
      <c r="B14" s="10" t="s">
        <v>162</v>
      </c>
      <c r="C14" s="10" t="s">
        <v>163</v>
      </c>
      <c r="D14" s="74">
        <v>44090</v>
      </c>
      <c r="E14" s="10" t="s">
        <v>239</v>
      </c>
      <c r="F14" s="75" t="str">
        <f>VLOOKUP($E14,'Item Classification'!B:C,2,0)</f>
        <v>Clothing and personal equipment</v>
      </c>
      <c r="G14" s="10" t="str">
        <f>VLOOKUP($E14,'Item Classification'!B:D,3,0)</f>
        <v>Modernisation</v>
      </c>
      <c r="H14" s="76">
        <f>VLOOKUP($E14,'Item Classification'!B:E,4,0)</f>
        <v>13</v>
      </c>
      <c r="I14" s="81">
        <v>3</v>
      </c>
      <c r="J14" s="182">
        <f>M14/I14</f>
        <v>93333333.333333328</v>
      </c>
      <c r="K14" s="81">
        <v>2021</v>
      </c>
      <c r="L14" s="81">
        <v>2023</v>
      </c>
      <c r="M14" s="183">
        <v>280000000</v>
      </c>
      <c r="N14" s="10" t="s">
        <v>165</v>
      </c>
      <c r="O14" s="10" t="s">
        <v>162</v>
      </c>
      <c r="P14" s="10" t="s">
        <v>163</v>
      </c>
      <c r="Q14" s="77">
        <v>9</v>
      </c>
      <c r="R14" s="77">
        <v>1</v>
      </c>
      <c r="S14" s="77">
        <v>1</v>
      </c>
      <c r="T14" s="77">
        <v>0</v>
      </c>
      <c r="U14" s="77">
        <v>1</v>
      </c>
      <c r="V14" s="77">
        <v>0</v>
      </c>
      <c r="W14" s="77">
        <v>0</v>
      </c>
      <c r="X14" s="77">
        <v>0</v>
      </c>
      <c r="Y14" s="10" t="s">
        <v>240</v>
      </c>
      <c r="Z14" s="10" t="s">
        <v>163</v>
      </c>
      <c r="AA14" s="21" t="s">
        <v>162</v>
      </c>
      <c r="AB14" s="10" t="s">
        <v>162</v>
      </c>
      <c r="AC14" s="21" t="s">
        <v>162</v>
      </c>
      <c r="AD14" s="21" t="s">
        <v>162</v>
      </c>
      <c r="AE14" s="21" t="s">
        <v>162</v>
      </c>
      <c r="AF14" s="21" t="s">
        <v>162</v>
      </c>
      <c r="AG14" s="21" t="s">
        <v>162</v>
      </c>
      <c r="AH14" s="21" t="s">
        <v>162</v>
      </c>
      <c r="AI14" s="21" t="s">
        <v>162</v>
      </c>
      <c r="AJ14" s="21" t="s">
        <v>162</v>
      </c>
      <c r="AK14" s="21" t="s">
        <v>162</v>
      </c>
      <c r="AL14" s="21" t="s">
        <v>162</v>
      </c>
      <c r="AM14" s="21" t="s">
        <v>162</v>
      </c>
      <c r="AN14" s="21" t="s">
        <v>162</v>
      </c>
      <c r="AO14" s="10" t="s">
        <v>162</v>
      </c>
      <c r="AP14" s="21" t="s">
        <v>162</v>
      </c>
      <c r="AQ14" s="10" t="s">
        <v>241</v>
      </c>
      <c r="AR14" s="10" t="s">
        <v>162</v>
      </c>
      <c r="AS14" s="10" t="s">
        <v>162</v>
      </c>
      <c r="AT14" s="10" t="s">
        <v>242</v>
      </c>
      <c r="AU14" s="10" t="s">
        <v>243</v>
      </c>
      <c r="AV14" s="10" t="s">
        <v>162</v>
      </c>
      <c r="AW14" s="10"/>
    </row>
    <row r="15" spans="1:49">
      <c r="A15" s="10" t="s">
        <v>244</v>
      </c>
      <c r="B15" s="10" t="s">
        <v>162</v>
      </c>
      <c r="C15" s="10" t="s">
        <v>163</v>
      </c>
      <c r="D15" s="74">
        <v>44111</v>
      </c>
      <c r="E15" s="10" t="s">
        <v>245</v>
      </c>
      <c r="F15" s="75" t="str">
        <f>VLOOKUP($E15,'Item Classification'!B:C,2,0)</f>
        <v>Transportation for military personnel</v>
      </c>
      <c r="G15" s="10" t="str">
        <f>VLOOKUP($E15,'Item Classification'!B:D,3,0)</f>
        <v>Other</v>
      </c>
      <c r="H15" s="76">
        <f>VLOOKUP($E15,'Item Classification'!B:E,4,0)</f>
        <v>16</v>
      </c>
      <c r="I15" s="81" t="s">
        <v>162</v>
      </c>
      <c r="J15" s="81" t="s">
        <v>162</v>
      </c>
      <c r="K15" s="81">
        <v>2021</v>
      </c>
      <c r="L15" s="81">
        <v>2021</v>
      </c>
      <c r="M15" s="183">
        <v>40000000</v>
      </c>
      <c r="N15" s="10" t="s">
        <v>165</v>
      </c>
      <c r="O15" s="10" t="s">
        <v>162</v>
      </c>
      <c r="P15" s="10" t="s">
        <v>163</v>
      </c>
      <c r="Q15" s="77">
        <v>10</v>
      </c>
      <c r="R15" s="77">
        <v>0</v>
      </c>
      <c r="S15" s="77">
        <v>0</v>
      </c>
      <c r="T15" s="77">
        <v>0</v>
      </c>
      <c r="U15" s="77">
        <v>1</v>
      </c>
      <c r="V15" s="77">
        <v>0</v>
      </c>
      <c r="W15" s="77">
        <v>0</v>
      </c>
      <c r="X15" s="77">
        <v>0</v>
      </c>
      <c r="Y15" s="10" t="s">
        <v>246</v>
      </c>
      <c r="Z15" s="10" t="s">
        <v>163</v>
      </c>
      <c r="AA15" s="21" t="s">
        <v>162</v>
      </c>
      <c r="AB15" s="10" t="s">
        <v>162</v>
      </c>
      <c r="AC15" s="21" t="s">
        <v>162</v>
      </c>
      <c r="AD15" s="21" t="s">
        <v>162</v>
      </c>
      <c r="AE15" s="21" t="s">
        <v>162</v>
      </c>
      <c r="AF15" s="21" t="s">
        <v>162</v>
      </c>
      <c r="AG15" s="21" t="s">
        <v>162</v>
      </c>
      <c r="AH15" s="21" t="s">
        <v>162</v>
      </c>
      <c r="AI15" s="21" t="s">
        <v>162</v>
      </c>
      <c r="AJ15" s="21" t="s">
        <v>162</v>
      </c>
      <c r="AK15" s="21" t="s">
        <v>162</v>
      </c>
      <c r="AL15" s="21" t="s">
        <v>162</v>
      </c>
      <c r="AM15" s="21" t="s">
        <v>162</v>
      </c>
      <c r="AN15" s="21" t="s">
        <v>162</v>
      </c>
      <c r="AO15" s="10" t="s">
        <v>162</v>
      </c>
      <c r="AP15" s="21" t="s">
        <v>162</v>
      </c>
      <c r="AQ15" s="10" t="s">
        <v>247</v>
      </c>
      <c r="AR15" s="10" t="s">
        <v>248</v>
      </c>
      <c r="AS15" s="10" t="s">
        <v>162</v>
      </c>
      <c r="AT15" s="10" t="s">
        <v>249</v>
      </c>
      <c r="AU15" s="10" t="s">
        <v>162</v>
      </c>
      <c r="AV15" s="10" t="s">
        <v>162</v>
      </c>
      <c r="AW15" s="10"/>
    </row>
    <row r="16" spans="1:49">
      <c r="A16" s="10" t="s">
        <v>250</v>
      </c>
      <c r="B16" s="10" t="s">
        <v>162</v>
      </c>
      <c r="C16" s="10" t="s">
        <v>163</v>
      </c>
      <c r="D16" s="74">
        <v>44140</v>
      </c>
      <c r="E16" s="10" t="s">
        <v>251</v>
      </c>
      <c r="F16" s="75" t="str">
        <f>VLOOKUP($E16,'Item Classification'!B:C,2,0)</f>
        <v>Fighter aircraft</v>
      </c>
      <c r="G16" s="10" t="str">
        <f>VLOOKUP($E16,'Item Classification'!B:D,3,0)</f>
        <v>Aircraft</v>
      </c>
      <c r="H16" s="76">
        <f>VLOOKUP($E16,'Item Classification'!B:E,4,0)</f>
        <v>11</v>
      </c>
      <c r="I16" s="81">
        <v>38</v>
      </c>
      <c r="J16" s="182">
        <f>M16/I16</f>
        <v>144736842.10526314</v>
      </c>
      <c r="K16" s="81">
        <v>2025</v>
      </c>
      <c r="L16" s="81">
        <v>2030</v>
      </c>
      <c r="M16" s="183">
        <v>5500000000</v>
      </c>
      <c r="N16" s="10" t="s">
        <v>165</v>
      </c>
      <c r="O16" s="10" t="s">
        <v>162</v>
      </c>
      <c r="P16" s="10" t="s">
        <v>163</v>
      </c>
      <c r="Q16" s="77">
        <v>11</v>
      </c>
      <c r="R16" s="77">
        <v>0</v>
      </c>
      <c r="S16" s="77">
        <v>0</v>
      </c>
      <c r="T16" s="77">
        <v>0</v>
      </c>
      <c r="U16" s="77">
        <v>1</v>
      </c>
      <c r="V16" s="77">
        <v>1</v>
      </c>
      <c r="W16" s="77">
        <v>0</v>
      </c>
      <c r="X16" s="77">
        <v>1</v>
      </c>
      <c r="Y16" s="21" t="s">
        <v>168</v>
      </c>
      <c r="Z16" s="21" t="s">
        <v>163</v>
      </c>
      <c r="AA16" s="21" t="s">
        <v>162</v>
      </c>
      <c r="AB16" s="10" t="s">
        <v>162</v>
      </c>
      <c r="AC16" s="21" t="s">
        <v>162</v>
      </c>
      <c r="AD16" s="21" t="s">
        <v>162</v>
      </c>
      <c r="AE16" s="21" t="s">
        <v>162</v>
      </c>
      <c r="AF16" s="21" t="s">
        <v>252</v>
      </c>
      <c r="AG16" s="21" t="s">
        <v>190</v>
      </c>
      <c r="AH16" s="21" t="s">
        <v>219</v>
      </c>
      <c r="AI16" s="21" t="s">
        <v>162</v>
      </c>
      <c r="AJ16" s="21" t="s">
        <v>162</v>
      </c>
      <c r="AK16" s="21" t="s">
        <v>162</v>
      </c>
      <c r="AL16" s="21" t="s">
        <v>162</v>
      </c>
      <c r="AM16" s="21" t="s">
        <v>162</v>
      </c>
      <c r="AN16" s="21" t="s">
        <v>162</v>
      </c>
      <c r="AO16" s="10" t="s">
        <v>162</v>
      </c>
      <c r="AP16" s="21" t="s">
        <v>162</v>
      </c>
      <c r="AQ16" s="10" t="s">
        <v>253</v>
      </c>
      <c r="AR16" s="10" t="s">
        <v>254</v>
      </c>
      <c r="AS16" s="10" t="s">
        <v>255</v>
      </c>
      <c r="AT16" s="10" t="s">
        <v>256</v>
      </c>
      <c r="AU16" s="10" t="s">
        <v>257</v>
      </c>
      <c r="AV16" s="10" t="s">
        <v>162</v>
      </c>
      <c r="AW16" s="10"/>
    </row>
    <row r="17" spans="1:49">
      <c r="A17" s="10" t="s">
        <v>258</v>
      </c>
      <c r="B17" s="21" t="s">
        <v>162</v>
      </c>
      <c r="C17" s="10" t="s">
        <v>163</v>
      </c>
      <c r="D17" s="74">
        <v>44154</v>
      </c>
      <c r="E17" s="10" t="s">
        <v>259</v>
      </c>
      <c r="F17" s="75" t="str">
        <f>VLOOKUP($E17,'Item Classification'!B:C,2,0)</f>
        <v>Equipment for heavyweight torpedo</v>
      </c>
      <c r="G17" s="10" t="str">
        <f>VLOOKUP($E17,'Item Classification'!B:D,3,0)</f>
        <v>Naval</v>
      </c>
      <c r="H17" s="76">
        <f>VLOOKUP($E17,'Item Classification'!B:E,4,0)</f>
        <v>12</v>
      </c>
      <c r="I17" s="81">
        <v>69</v>
      </c>
      <c r="J17" s="182">
        <f>M17/I17</f>
        <v>449275.36231884058</v>
      </c>
      <c r="K17" s="81" t="s">
        <v>162</v>
      </c>
      <c r="L17" s="81" t="s">
        <v>162</v>
      </c>
      <c r="M17" s="183">
        <v>31000000</v>
      </c>
      <c r="N17" s="10" t="s">
        <v>165</v>
      </c>
      <c r="O17" s="10" t="s">
        <v>162</v>
      </c>
      <c r="P17" s="10" t="s">
        <v>163</v>
      </c>
      <c r="Q17" s="77">
        <v>11</v>
      </c>
      <c r="R17" s="77">
        <v>0</v>
      </c>
      <c r="S17" s="77">
        <v>0</v>
      </c>
      <c r="T17" s="77">
        <v>0</v>
      </c>
      <c r="U17" s="77">
        <v>1</v>
      </c>
      <c r="V17" s="77">
        <v>0</v>
      </c>
      <c r="W17" s="77">
        <v>0</v>
      </c>
      <c r="X17" s="77">
        <v>0</v>
      </c>
      <c r="Y17" s="10" t="s">
        <v>260</v>
      </c>
      <c r="Z17" s="21" t="s">
        <v>163</v>
      </c>
      <c r="AA17" s="21" t="s">
        <v>162</v>
      </c>
      <c r="AB17" s="10" t="s">
        <v>162</v>
      </c>
      <c r="AC17" s="10" t="s">
        <v>162</v>
      </c>
      <c r="AD17" s="10" t="s">
        <v>162</v>
      </c>
      <c r="AE17" s="10" t="s">
        <v>162</v>
      </c>
      <c r="AF17" s="10" t="s">
        <v>162</v>
      </c>
      <c r="AG17" s="10" t="s">
        <v>162</v>
      </c>
      <c r="AH17" s="10" t="s">
        <v>162</v>
      </c>
      <c r="AI17" s="10" t="s">
        <v>162</v>
      </c>
      <c r="AJ17" s="10" t="s">
        <v>162</v>
      </c>
      <c r="AK17" s="10" t="s">
        <v>162</v>
      </c>
      <c r="AL17" s="10" t="s">
        <v>162</v>
      </c>
      <c r="AM17" s="10" t="s">
        <v>162</v>
      </c>
      <c r="AN17" s="10" t="s">
        <v>162</v>
      </c>
      <c r="AO17" s="10" t="s">
        <v>162</v>
      </c>
      <c r="AP17" s="10" t="s">
        <v>162</v>
      </c>
      <c r="AQ17" s="10" t="s">
        <v>261</v>
      </c>
      <c r="AR17" s="10" t="s">
        <v>262</v>
      </c>
      <c r="AS17" s="10" t="s">
        <v>263</v>
      </c>
      <c r="AT17" s="10" t="s">
        <v>264</v>
      </c>
      <c r="AU17" s="10" t="s">
        <v>162</v>
      </c>
      <c r="AV17" s="10" t="s">
        <v>162</v>
      </c>
      <c r="AW17" s="10"/>
    </row>
    <row r="18" spans="1:49">
      <c r="A18" s="10" t="s">
        <v>265</v>
      </c>
      <c r="B18" s="10" t="s">
        <v>266</v>
      </c>
      <c r="C18" s="10" t="s">
        <v>163</v>
      </c>
      <c r="D18" s="74">
        <v>44154</v>
      </c>
      <c r="E18" s="10" t="s">
        <v>267</v>
      </c>
      <c r="F18" s="75" t="str">
        <f>VLOOKUP($E18,'Item Classification'!B:C,2,0)</f>
        <v>120mm tank ammunition</v>
      </c>
      <c r="G18" s="10" t="str">
        <f>VLOOKUP($E18,'Item Classification'!B:D,3,0)</f>
        <v>Ammunition</v>
      </c>
      <c r="H18" s="76">
        <f>VLOOKUP($E18,'Item Classification'!B:E,4,0)</f>
        <v>4</v>
      </c>
      <c r="I18" s="81">
        <v>15000</v>
      </c>
      <c r="J18" s="182">
        <f>M18/I18</f>
        <v>1733.3333333333333</v>
      </c>
      <c r="K18" s="81">
        <v>2020</v>
      </c>
      <c r="L18" s="81">
        <v>2020</v>
      </c>
      <c r="M18" s="183">
        <v>26000000</v>
      </c>
      <c r="N18" s="10" t="s">
        <v>165</v>
      </c>
      <c r="O18" s="10" t="s">
        <v>162</v>
      </c>
      <c r="P18" s="10" t="s">
        <v>163</v>
      </c>
      <c r="Q18" s="77">
        <v>11</v>
      </c>
      <c r="R18" s="77">
        <v>1</v>
      </c>
      <c r="S18" s="77">
        <v>0</v>
      </c>
      <c r="T18" s="77">
        <v>0</v>
      </c>
      <c r="U18" s="77">
        <v>1</v>
      </c>
      <c r="V18" s="77">
        <v>0</v>
      </c>
      <c r="W18" s="77">
        <v>0</v>
      </c>
      <c r="X18" s="77">
        <v>0</v>
      </c>
      <c r="Y18" s="21" t="s">
        <v>268</v>
      </c>
      <c r="Z18" s="21" t="s">
        <v>163</v>
      </c>
      <c r="AA18" s="21" t="s">
        <v>162</v>
      </c>
      <c r="AB18" s="21" t="s">
        <v>162</v>
      </c>
      <c r="AC18" s="21" t="s">
        <v>162</v>
      </c>
      <c r="AD18" s="21" t="s">
        <v>162</v>
      </c>
      <c r="AE18" s="21" t="s">
        <v>162</v>
      </c>
      <c r="AF18" s="21" t="s">
        <v>162</v>
      </c>
      <c r="AG18" s="21" t="s">
        <v>162</v>
      </c>
      <c r="AH18" s="21" t="s">
        <v>162</v>
      </c>
      <c r="AI18" s="21" t="s">
        <v>162</v>
      </c>
      <c r="AJ18" s="21" t="s">
        <v>162</v>
      </c>
      <c r="AK18" s="21" t="s">
        <v>162</v>
      </c>
      <c r="AL18" s="21" t="s">
        <v>162</v>
      </c>
      <c r="AM18" s="21" t="s">
        <v>162</v>
      </c>
      <c r="AN18" s="21" t="s">
        <v>162</v>
      </c>
      <c r="AO18" s="21" t="s">
        <v>162</v>
      </c>
      <c r="AP18" s="21" t="s">
        <v>162</v>
      </c>
      <c r="AQ18" s="10" t="s">
        <v>261</v>
      </c>
      <c r="AR18" s="10" t="s">
        <v>269</v>
      </c>
      <c r="AS18" s="10" t="s">
        <v>270</v>
      </c>
      <c r="AT18" s="10" t="s">
        <v>271</v>
      </c>
      <c r="AU18" s="10" t="s">
        <v>162</v>
      </c>
      <c r="AV18" s="10" t="s">
        <v>162</v>
      </c>
      <c r="AW18" s="10"/>
    </row>
    <row r="19" spans="1:49">
      <c r="A19" s="10" t="s">
        <v>272</v>
      </c>
      <c r="B19" s="21" t="s">
        <v>194</v>
      </c>
      <c r="C19" s="10" t="s">
        <v>163</v>
      </c>
      <c r="D19" s="74">
        <v>44154</v>
      </c>
      <c r="E19" s="10" t="s">
        <v>273</v>
      </c>
      <c r="F19" s="75" t="str">
        <f>VLOOKUP($E19,'Item Classification'!B:C,2,0)</f>
        <v>Communication and digitalisation development</v>
      </c>
      <c r="G19" s="10" t="str">
        <f>VLOOKUP($E19,'Item Classification'!B:D,3,0)</f>
        <v>Development - Modernisation</v>
      </c>
      <c r="H19" s="76">
        <f>VLOOKUP($E19,'Item Classification'!B:E,4,0)</f>
        <v>15</v>
      </c>
      <c r="I19" s="81" t="s">
        <v>162</v>
      </c>
      <c r="J19" s="81" t="s">
        <v>162</v>
      </c>
      <c r="K19" s="81" t="s">
        <v>162</v>
      </c>
      <c r="L19" s="81">
        <v>2027</v>
      </c>
      <c r="M19" s="183">
        <v>117000000</v>
      </c>
      <c r="N19" s="10" t="s">
        <v>165</v>
      </c>
      <c r="O19" s="10" t="s">
        <v>162</v>
      </c>
      <c r="P19" s="10" t="s">
        <v>163</v>
      </c>
      <c r="Q19" s="77">
        <v>11</v>
      </c>
      <c r="R19" s="77">
        <v>0</v>
      </c>
      <c r="S19" s="77">
        <v>1</v>
      </c>
      <c r="T19" s="77">
        <v>0</v>
      </c>
      <c r="U19" s="77">
        <v>1</v>
      </c>
      <c r="V19" s="77">
        <v>0</v>
      </c>
      <c r="W19" s="77">
        <v>0</v>
      </c>
      <c r="X19" s="77">
        <v>0</v>
      </c>
      <c r="Y19" s="21" t="s">
        <v>194</v>
      </c>
      <c r="Z19" s="21" t="s">
        <v>163</v>
      </c>
      <c r="AA19" s="21" t="s">
        <v>162</v>
      </c>
      <c r="AB19" s="21" t="s">
        <v>162</v>
      </c>
      <c r="AC19" s="21" t="s">
        <v>162</v>
      </c>
      <c r="AD19" s="21" t="s">
        <v>162</v>
      </c>
      <c r="AE19" s="21" t="s">
        <v>162</v>
      </c>
      <c r="AF19" s="21" t="s">
        <v>162</v>
      </c>
      <c r="AG19" s="21" t="s">
        <v>162</v>
      </c>
      <c r="AH19" s="21" t="s">
        <v>162</v>
      </c>
      <c r="AI19" s="21" t="s">
        <v>162</v>
      </c>
      <c r="AJ19" s="21" t="s">
        <v>162</v>
      </c>
      <c r="AK19" s="21" t="s">
        <v>162</v>
      </c>
      <c r="AL19" s="21" t="s">
        <v>162</v>
      </c>
      <c r="AM19" s="21" t="s">
        <v>162</v>
      </c>
      <c r="AN19" s="21" t="s">
        <v>162</v>
      </c>
      <c r="AO19" s="21" t="s">
        <v>162</v>
      </c>
      <c r="AP19" s="21" t="s">
        <v>162</v>
      </c>
      <c r="AQ19" s="10" t="s">
        <v>261</v>
      </c>
      <c r="AR19" s="10" t="s">
        <v>262</v>
      </c>
      <c r="AS19" s="10" t="s">
        <v>162</v>
      </c>
      <c r="AT19" s="10" t="s">
        <v>274</v>
      </c>
      <c r="AU19" s="10" t="s">
        <v>162</v>
      </c>
      <c r="AV19" s="10" t="s">
        <v>162</v>
      </c>
      <c r="AW19" s="10"/>
    </row>
    <row r="20" spans="1:49">
      <c r="A20" s="10" t="s">
        <v>275</v>
      </c>
      <c r="B20" s="21" t="s">
        <v>276</v>
      </c>
      <c r="C20" s="10" t="s">
        <v>163</v>
      </c>
      <c r="D20" s="74">
        <v>44155</v>
      </c>
      <c r="E20" s="10" t="s">
        <v>277</v>
      </c>
      <c r="F20" s="75" t="str">
        <f>VLOOKUP($E20,'Item Classification'!B:C,2,0)</f>
        <v>Maritime frigate attack helicopter</v>
      </c>
      <c r="G20" s="10" t="str">
        <f>VLOOKUP($E20,'Item Classification'!B:D,3,0)</f>
        <v>Naval</v>
      </c>
      <c r="H20" s="76">
        <f>VLOOKUP($E20,'Item Classification'!B:E,4,0)</f>
        <v>12</v>
      </c>
      <c r="I20" s="81">
        <v>31</v>
      </c>
      <c r="J20" s="182">
        <f>M20/I20</f>
        <v>87096774.193548381</v>
      </c>
      <c r="K20" s="81">
        <v>2025</v>
      </c>
      <c r="L20" s="81" t="s">
        <v>162</v>
      </c>
      <c r="M20" s="183">
        <v>2700000000</v>
      </c>
      <c r="N20" s="10" t="s">
        <v>165</v>
      </c>
      <c r="O20" s="10" t="s">
        <v>162</v>
      </c>
      <c r="P20" s="10" t="s">
        <v>163</v>
      </c>
      <c r="Q20" s="77">
        <v>11</v>
      </c>
      <c r="R20" s="77">
        <v>0</v>
      </c>
      <c r="S20" s="77">
        <v>0</v>
      </c>
      <c r="T20" s="77">
        <v>0</v>
      </c>
      <c r="U20" s="77">
        <v>1</v>
      </c>
      <c r="V20" s="77">
        <v>1</v>
      </c>
      <c r="W20" s="77">
        <v>0</v>
      </c>
      <c r="X20" s="77">
        <v>1</v>
      </c>
      <c r="Y20" s="10" t="s">
        <v>278</v>
      </c>
      <c r="Z20" s="10" t="s">
        <v>163</v>
      </c>
      <c r="AA20" s="21" t="s">
        <v>162</v>
      </c>
      <c r="AB20" s="10" t="s">
        <v>162</v>
      </c>
      <c r="AC20" s="21" t="s">
        <v>162</v>
      </c>
      <c r="AD20" s="21" t="s">
        <v>162</v>
      </c>
      <c r="AE20" s="21" t="s">
        <v>162</v>
      </c>
      <c r="AF20" s="21" t="s">
        <v>181</v>
      </c>
      <c r="AG20" s="21" t="s">
        <v>219</v>
      </c>
      <c r="AH20" s="21" t="s">
        <v>176</v>
      </c>
      <c r="AI20" s="21" t="s">
        <v>162</v>
      </c>
      <c r="AJ20" s="21" t="s">
        <v>162</v>
      </c>
      <c r="AK20" s="21" t="s">
        <v>162</v>
      </c>
      <c r="AL20" s="21" t="s">
        <v>162</v>
      </c>
      <c r="AM20" s="21" t="s">
        <v>162</v>
      </c>
      <c r="AN20" s="21" t="s">
        <v>162</v>
      </c>
      <c r="AO20" s="10" t="s">
        <v>162</v>
      </c>
      <c r="AP20" s="21" t="s">
        <v>162</v>
      </c>
      <c r="AQ20" s="10" t="s">
        <v>279</v>
      </c>
      <c r="AR20" s="10" t="s">
        <v>280</v>
      </c>
      <c r="AS20" s="10" t="s">
        <v>281</v>
      </c>
      <c r="AT20" s="10" t="s">
        <v>282</v>
      </c>
      <c r="AU20" s="10" t="s">
        <v>162</v>
      </c>
      <c r="AV20" s="10" t="s">
        <v>162</v>
      </c>
      <c r="AW20" s="10"/>
    </row>
    <row r="21" spans="1:49">
      <c r="A21" s="10" t="s">
        <v>283</v>
      </c>
      <c r="B21" s="21" t="s">
        <v>162</v>
      </c>
      <c r="C21" s="10" t="s">
        <v>163</v>
      </c>
      <c r="D21" s="74">
        <v>44161</v>
      </c>
      <c r="E21" s="21" t="s">
        <v>284</v>
      </c>
      <c r="F21" s="75" t="str">
        <f>VLOOKUP($E21,'Item Classification'!B:C,2,0)</f>
        <v>Armoured Utility Vehicle (AUV)</v>
      </c>
      <c r="G21" s="10" t="str">
        <f>VLOOKUP($E21,'Item Classification'!B:D,3,0)</f>
        <v>Armoured vehicle</v>
      </c>
      <c r="H21" s="76">
        <f>VLOOKUP($E21,'Item Classification'!B:E,4,0)</f>
        <v>2</v>
      </c>
      <c r="I21" s="81">
        <v>224</v>
      </c>
      <c r="J21" s="182">
        <f>M21/I21</f>
        <v>803571.42857142852</v>
      </c>
      <c r="K21" s="81">
        <v>2021</v>
      </c>
      <c r="L21" s="81">
        <v>2025</v>
      </c>
      <c r="M21" s="183">
        <v>180000000</v>
      </c>
      <c r="N21" s="10" t="s">
        <v>165</v>
      </c>
      <c r="O21" s="10" t="s">
        <v>162</v>
      </c>
      <c r="P21" s="10" t="s">
        <v>163</v>
      </c>
      <c r="Q21" s="77">
        <v>11</v>
      </c>
      <c r="R21" s="77">
        <v>1</v>
      </c>
      <c r="S21" s="77">
        <v>0</v>
      </c>
      <c r="T21" s="77">
        <v>0</v>
      </c>
      <c r="U21" s="77" t="s">
        <v>162</v>
      </c>
      <c r="V21" s="77" t="s">
        <v>162</v>
      </c>
      <c r="W21" s="77" t="s">
        <v>162</v>
      </c>
      <c r="X21" s="77" t="s">
        <v>162</v>
      </c>
      <c r="Y21" s="21" t="s">
        <v>162</v>
      </c>
      <c r="Z21" s="21" t="s">
        <v>162</v>
      </c>
      <c r="AA21" s="21" t="s">
        <v>162</v>
      </c>
      <c r="AB21" s="21" t="s">
        <v>162</v>
      </c>
      <c r="AC21" s="21" t="s">
        <v>162</v>
      </c>
      <c r="AD21" s="21" t="s">
        <v>162</v>
      </c>
      <c r="AE21" s="21" t="s">
        <v>162</v>
      </c>
      <c r="AF21" s="21" t="s">
        <v>162</v>
      </c>
      <c r="AG21" s="21" t="s">
        <v>162</v>
      </c>
      <c r="AH21" s="21" t="s">
        <v>162</v>
      </c>
      <c r="AI21" s="21" t="s">
        <v>162</v>
      </c>
      <c r="AJ21" s="21" t="s">
        <v>162</v>
      </c>
      <c r="AK21" s="21" t="s">
        <v>162</v>
      </c>
      <c r="AL21" s="21" t="s">
        <v>162</v>
      </c>
      <c r="AM21" s="21" t="s">
        <v>162</v>
      </c>
      <c r="AN21" s="21" t="s">
        <v>162</v>
      </c>
      <c r="AO21" s="21" t="s">
        <v>162</v>
      </c>
      <c r="AP21" s="21" t="s">
        <v>162</v>
      </c>
      <c r="AQ21" s="10" t="s">
        <v>285</v>
      </c>
      <c r="AR21" s="10" t="s">
        <v>286</v>
      </c>
      <c r="AS21" s="10" t="s">
        <v>162</v>
      </c>
      <c r="AT21" s="10" t="s">
        <v>287</v>
      </c>
      <c r="AU21" s="10" t="s">
        <v>288</v>
      </c>
      <c r="AV21" s="10" t="s">
        <v>289</v>
      </c>
      <c r="AW21" s="10" t="s">
        <v>162</v>
      </c>
    </row>
    <row r="22" spans="1:49">
      <c r="A22" s="10" t="s">
        <v>290</v>
      </c>
      <c r="B22" s="21" t="s">
        <v>162</v>
      </c>
      <c r="C22" s="10" t="s">
        <v>163</v>
      </c>
      <c r="D22" s="74">
        <v>44161</v>
      </c>
      <c r="E22" s="10" t="s">
        <v>291</v>
      </c>
      <c r="F22" s="75" t="str">
        <f>VLOOKUP($E22,'Item Classification'!B:C,2,0)</f>
        <v>Non-combat military vehicle</v>
      </c>
      <c r="G22" s="10" t="str">
        <f>VLOOKUP($E22,'Item Classification'!B:D,3,0)</f>
        <v>Other</v>
      </c>
      <c r="H22" s="76">
        <f>VLOOKUP($E22,'Item Classification'!B:E,4,0)</f>
        <v>16</v>
      </c>
      <c r="I22" s="81">
        <v>48</v>
      </c>
      <c r="J22" s="182">
        <f>M22/I22</f>
        <v>854166.66666666663</v>
      </c>
      <c r="K22" s="81" t="s">
        <v>162</v>
      </c>
      <c r="L22" s="81" t="s">
        <v>162</v>
      </c>
      <c r="M22" s="183">
        <v>41000000</v>
      </c>
      <c r="N22" s="10" t="s">
        <v>292</v>
      </c>
      <c r="O22" s="10" t="s">
        <v>162</v>
      </c>
      <c r="P22" s="10" t="s">
        <v>163</v>
      </c>
      <c r="Q22" s="77">
        <v>11</v>
      </c>
      <c r="R22" s="77">
        <v>1</v>
      </c>
      <c r="S22" s="77">
        <v>0</v>
      </c>
      <c r="T22" s="77">
        <v>0</v>
      </c>
      <c r="U22" s="77">
        <v>1</v>
      </c>
      <c r="V22" s="77">
        <v>0</v>
      </c>
      <c r="W22" s="77">
        <v>0</v>
      </c>
      <c r="X22" s="77">
        <v>0</v>
      </c>
      <c r="Y22" s="21" t="s">
        <v>268</v>
      </c>
      <c r="Z22" s="21" t="s">
        <v>163</v>
      </c>
      <c r="AA22" s="21" t="s">
        <v>162</v>
      </c>
      <c r="AB22" s="21" t="s">
        <v>162</v>
      </c>
      <c r="AC22" s="21" t="s">
        <v>162</v>
      </c>
      <c r="AD22" s="21" t="s">
        <v>162</v>
      </c>
      <c r="AE22" s="21" t="s">
        <v>162</v>
      </c>
      <c r="AF22" s="21" t="s">
        <v>162</v>
      </c>
      <c r="AG22" s="21" t="s">
        <v>162</v>
      </c>
      <c r="AH22" s="21" t="s">
        <v>162</v>
      </c>
      <c r="AI22" s="21" t="s">
        <v>162</v>
      </c>
      <c r="AJ22" s="21" t="s">
        <v>162</v>
      </c>
      <c r="AK22" s="21" t="s">
        <v>162</v>
      </c>
      <c r="AL22" s="21" t="s">
        <v>162</v>
      </c>
      <c r="AM22" s="21" t="s">
        <v>162</v>
      </c>
      <c r="AN22" s="21" t="s">
        <v>162</v>
      </c>
      <c r="AO22" s="21" t="s">
        <v>162</v>
      </c>
      <c r="AP22" s="21" t="s">
        <v>162</v>
      </c>
      <c r="AQ22" s="10" t="s">
        <v>285</v>
      </c>
      <c r="AR22" s="10" t="s">
        <v>286</v>
      </c>
      <c r="AS22" s="10" t="s">
        <v>162</v>
      </c>
      <c r="AT22" s="10" t="s">
        <v>293</v>
      </c>
      <c r="AU22" s="10" t="s">
        <v>162</v>
      </c>
      <c r="AV22" s="10" t="s">
        <v>162</v>
      </c>
      <c r="AW22" s="10"/>
    </row>
    <row r="23" spans="1:49">
      <c r="A23" s="10" t="s">
        <v>294</v>
      </c>
      <c r="B23" s="21" t="s">
        <v>162</v>
      </c>
      <c r="C23" s="10" t="s">
        <v>163</v>
      </c>
      <c r="D23" s="74">
        <v>44161</v>
      </c>
      <c r="E23" s="10" t="s">
        <v>162</v>
      </c>
      <c r="F23" s="75" t="s">
        <v>295</v>
      </c>
      <c r="G23" s="10" t="s">
        <v>296</v>
      </c>
      <c r="H23" s="76">
        <v>16</v>
      </c>
      <c r="I23" s="81" t="s">
        <v>162</v>
      </c>
      <c r="J23" s="81" t="s">
        <v>162</v>
      </c>
      <c r="K23" s="81" t="s">
        <v>162</v>
      </c>
      <c r="L23" s="81" t="s">
        <v>162</v>
      </c>
      <c r="M23" s="183">
        <v>154000000</v>
      </c>
      <c r="N23" s="10" t="s">
        <v>165</v>
      </c>
      <c r="O23" s="10" t="s">
        <v>162</v>
      </c>
      <c r="P23" s="10" t="s">
        <v>163</v>
      </c>
      <c r="Q23" s="77">
        <v>11</v>
      </c>
      <c r="R23" s="77">
        <v>1</v>
      </c>
      <c r="S23" s="77">
        <v>0</v>
      </c>
      <c r="T23" s="77">
        <v>0</v>
      </c>
      <c r="U23" s="77">
        <v>1</v>
      </c>
      <c r="V23" s="77">
        <v>0</v>
      </c>
      <c r="W23" s="77">
        <v>0</v>
      </c>
      <c r="X23" s="77">
        <v>0</v>
      </c>
      <c r="Y23" s="21" t="s">
        <v>268</v>
      </c>
      <c r="Z23" s="21" t="s">
        <v>163</v>
      </c>
      <c r="AA23" s="21" t="s">
        <v>162</v>
      </c>
      <c r="AB23" s="21" t="s">
        <v>162</v>
      </c>
      <c r="AC23" s="21" t="s">
        <v>162</v>
      </c>
      <c r="AD23" s="21" t="s">
        <v>162</v>
      </c>
      <c r="AE23" s="21" t="s">
        <v>162</v>
      </c>
      <c r="AF23" s="21" t="s">
        <v>162</v>
      </c>
      <c r="AG23" s="21" t="s">
        <v>162</v>
      </c>
      <c r="AH23" s="21" t="s">
        <v>162</v>
      </c>
      <c r="AI23" s="21" t="s">
        <v>162</v>
      </c>
      <c r="AJ23" s="21" t="s">
        <v>162</v>
      </c>
      <c r="AK23" s="21" t="s">
        <v>162</v>
      </c>
      <c r="AL23" s="21" t="s">
        <v>162</v>
      </c>
      <c r="AM23" s="21" t="s">
        <v>162</v>
      </c>
      <c r="AN23" s="21" t="s">
        <v>162</v>
      </c>
      <c r="AO23" s="21" t="s">
        <v>162</v>
      </c>
      <c r="AP23" s="21" t="s">
        <v>162</v>
      </c>
      <c r="AQ23" s="10" t="s">
        <v>285</v>
      </c>
      <c r="AR23" s="10" t="s">
        <v>286</v>
      </c>
      <c r="AS23" s="10" t="s">
        <v>162</v>
      </c>
      <c r="AT23" s="10" t="s">
        <v>297</v>
      </c>
      <c r="AU23" s="10" t="s">
        <v>162</v>
      </c>
      <c r="AV23" s="10" t="s">
        <v>162</v>
      </c>
      <c r="AW23" s="10"/>
    </row>
    <row r="24" spans="1:49">
      <c r="A24" s="10" t="s">
        <v>298</v>
      </c>
      <c r="B24" s="21" t="s">
        <v>162</v>
      </c>
      <c r="C24" s="10" t="s">
        <v>163</v>
      </c>
      <c r="D24" s="74">
        <v>44161</v>
      </c>
      <c r="E24" s="21" t="s">
        <v>299</v>
      </c>
      <c r="F24" s="75" t="str">
        <f>VLOOKUP($E24,'Item Classification'!B:C,2,0)</f>
        <v>Non-combat military vehicle</v>
      </c>
      <c r="G24" s="10" t="str">
        <f>VLOOKUP($E24,'Item Classification'!B:D,3,0)</f>
        <v>Other</v>
      </c>
      <c r="H24" s="76">
        <f>VLOOKUP($E24,'Item Classification'!B:E,4,0)</f>
        <v>16</v>
      </c>
      <c r="I24" s="81">
        <v>292</v>
      </c>
      <c r="J24" s="81" t="s">
        <v>162</v>
      </c>
      <c r="K24" s="81">
        <v>2021</v>
      </c>
      <c r="L24" s="81">
        <v>2021</v>
      </c>
      <c r="M24" s="81" t="s">
        <v>162</v>
      </c>
      <c r="N24" s="10" t="s">
        <v>165</v>
      </c>
      <c r="O24" s="10" t="s">
        <v>162</v>
      </c>
      <c r="P24" s="10" t="s">
        <v>163</v>
      </c>
      <c r="Q24" s="77">
        <v>11</v>
      </c>
      <c r="R24" s="77">
        <v>1</v>
      </c>
      <c r="S24" s="77">
        <v>0</v>
      </c>
      <c r="T24" s="77">
        <v>0</v>
      </c>
      <c r="U24" s="77">
        <v>1</v>
      </c>
      <c r="V24" s="77">
        <v>0</v>
      </c>
      <c r="W24" s="77">
        <v>0</v>
      </c>
      <c r="X24" s="77">
        <v>0</v>
      </c>
      <c r="Y24" s="21" t="s">
        <v>268</v>
      </c>
      <c r="Z24" s="21" t="s">
        <v>163</v>
      </c>
      <c r="AA24" s="21" t="s">
        <v>162</v>
      </c>
      <c r="AB24" s="21" t="s">
        <v>162</v>
      </c>
      <c r="AC24" s="21" t="s">
        <v>162</v>
      </c>
      <c r="AD24" s="21" t="s">
        <v>162</v>
      </c>
      <c r="AE24" s="21" t="s">
        <v>162</v>
      </c>
      <c r="AF24" s="21" t="s">
        <v>162</v>
      </c>
      <c r="AG24" s="21" t="s">
        <v>162</v>
      </c>
      <c r="AH24" s="21" t="s">
        <v>162</v>
      </c>
      <c r="AI24" s="21" t="s">
        <v>162</v>
      </c>
      <c r="AJ24" s="21" t="s">
        <v>162</v>
      </c>
      <c r="AK24" s="21" t="s">
        <v>162</v>
      </c>
      <c r="AL24" s="21" t="s">
        <v>162</v>
      </c>
      <c r="AM24" s="21" t="s">
        <v>162</v>
      </c>
      <c r="AN24" s="21" t="s">
        <v>162</v>
      </c>
      <c r="AO24" s="21" t="s">
        <v>162</v>
      </c>
      <c r="AP24" s="21" t="s">
        <v>162</v>
      </c>
      <c r="AQ24" s="10" t="s">
        <v>285</v>
      </c>
      <c r="AR24" s="10" t="s">
        <v>286</v>
      </c>
      <c r="AS24" s="10" t="s">
        <v>300</v>
      </c>
      <c r="AT24" s="10" t="s">
        <v>297</v>
      </c>
      <c r="AU24" s="10" t="s">
        <v>162</v>
      </c>
      <c r="AV24" s="10" t="s">
        <v>162</v>
      </c>
      <c r="AW24" s="10"/>
    </row>
    <row r="25" spans="1:49">
      <c r="A25" s="10" t="s">
        <v>301</v>
      </c>
      <c r="B25" s="21" t="s">
        <v>162</v>
      </c>
      <c r="C25" s="10" t="s">
        <v>163</v>
      </c>
      <c r="D25" s="74">
        <v>44161</v>
      </c>
      <c r="E25" s="21" t="s">
        <v>302</v>
      </c>
      <c r="F25" s="75" t="str">
        <f>VLOOKUP($E25,'Item Classification'!B:C,2,0)</f>
        <v>Non-combat military vehicle</v>
      </c>
      <c r="G25" s="10" t="str">
        <f>VLOOKUP($E25,'Item Classification'!B:D,3,0)</f>
        <v>Other</v>
      </c>
      <c r="H25" s="76">
        <f>VLOOKUP($E25,'Item Classification'!B:E,4,0)</f>
        <v>16</v>
      </c>
      <c r="I25" s="81">
        <v>109</v>
      </c>
      <c r="J25" s="81" t="s">
        <v>162</v>
      </c>
      <c r="K25" s="81">
        <v>2021</v>
      </c>
      <c r="L25" s="81">
        <v>2021</v>
      </c>
      <c r="M25" s="81" t="s">
        <v>162</v>
      </c>
      <c r="N25" s="10" t="s">
        <v>165</v>
      </c>
      <c r="O25" s="10" t="s">
        <v>162</v>
      </c>
      <c r="P25" s="10" t="s">
        <v>163</v>
      </c>
      <c r="Q25" s="77">
        <v>11</v>
      </c>
      <c r="R25" s="77">
        <v>1</v>
      </c>
      <c r="S25" s="77">
        <v>0</v>
      </c>
      <c r="T25" s="77">
        <v>0</v>
      </c>
      <c r="U25" s="77">
        <v>1</v>
      </c>
      <c r="V25" s="77">
        <v>0</v>
      </c>
      <c r="W25" s="77">
        <v>0</v>
      </c>
      <c r="X25" s="77">
        <v>0</v>
      </c>
      <c r="Y25" s="21" t="s">
        <v>268</v>
      </c>
      <c r="Z25" s="21" t="s">
        <v>163</v>
      </c>
      <c r="AA25" s="21" t="s">
        <v>162</v>
      </c>
      <c r="AB25" s="21" t="s">
        <v>162</v>
      </c>
      <c r="AC25" s="21" t="s">
        <v>162</v>
      </c>
      <c r="AD25" s="21" t="s">
        <v>162</v>
      </c>
      <c r="AE25" s="21" t="s">
        <v>162</v>
      </c>
      <c r="AF25" s="21" t="s">
        <v>162</v>
      </c>
      <c r="AG25" s="21" t="s">
        <v>162</v>
      </c>
      <c r="AH25" s="21" t="s">
        <v>162</v>
      </c>
      <c r="AI25" s="21" t="s">
        <v>162</v>
      </c>
      <c r="AJ25" s="21" t="s">
        <v>162</v>
      </c>
      <c r="AK25" s="21" t="s">
        <v>162</v>
      </c>
      <c r="AL25" s="21" t="s">
        <v>162</v>
      </c>
      <c r="AM25" s="21" t="s">
        <v>162</v>
      </c>
      <c r="AN25" s="21" t="s">
        <v>162</v>
      </c>
      <c r="AO25" s="21" t="s">
        <v>162</v>
      </c>
      <c r="AP25" s="21" t="s">
        <v>162</v>
      </c>
      <c r="AQ25" s="10" t="s">
        <v>285</v>
      </c>
      <c r="AR25" s="10" t="s">
        <v>286</v>
      </c>
      <c r="AS25" s="10" t="s">
        <v>300</v>
      </c>
      <c r="AT25" s="10" t="s">
        <v>297</v>
      </c>
      <c r="AU25" s="10" t="s">
        <v>162</v>
      </c>
      <c r="AV25" s="10" t="s">
        <v>162</v>
      </c>
      <c r="AW25" s="10"/>
    </row>
    <row r="26" spans="1:49">
      <c r="A26" s="10" t="s">
        <v>303</v>
      </c>
      <c r="B26" s="21" t="s">
        <v>162</v>
      </c>
      <c r="C26" s="10" t="s">
        <v>163</v>
      </c>
      <c r="D26" s="74">
        <v>44161</v>
      </c>
      <c r="E26" s="21" t="s">
        <v>162</v>
      </c>
      <c r="F26" s="75" t="s">
        <v>295</v>
      </c>
      <c r="G26" s="10" t="s">
        <v>296</v>
      </c>
      <c r="H26" s="76">
        <v>16</v>
      </c>
      <c r="I26" s="81" t="s">
        <v>162</v>
      </c>
      <c r="J26" s="81" t="s">
        <v>162</v>
      </c>
      <c r="K26" s="81" t="s">
        <v>162</v>
      </c>
      <c r="L26" s="81" t="s">
        <v>162</v>
      </c>
      <c r="M26" s="183">
        <v>389000000</v>
      </c>
      <c r="N26" s="10" t="s">
        <v>292</v>
      </c>
      <c r="O26" s="10" t="s">
        <v>162</v>
      </c>
      <c r="P26" s="10" t="s">
        <v>163</v>
      </c>
      <c r="Q26" s="77">
        <v>11</v>
      </c>
      <c r="R26" s="77">
        <v>1</v>
      </c>
      <c r="S26" s="77">
        <v>0</v>
      </c>
      <c r="T26" s="77">
        <v>0</v>
      </c>
      <c r="U26" s="77">
        <v>1</v>
      </c>
      <c r="V26" s="77">
        <v>0</v>
      </c>
      <c r="W26" s="77">
        <v>0</v>
      </c>
      <c r="X26" s="77">
        <v>0</v>
      </c>
      <c r="Y26" s="21" t="s">
        <v>268</v>
      </c>
      <c r="Z26" s="21" t="s">
        <v>163</v>
      </c>
      <c r="AA26" s="21" t="s">
        <v>162</v>
      </c>
      <c r="AB26" s="21" t="s">
        <v>162</v>
      </c>
      <c r="AC26" s="21" t="s">
        <v>162</v>
      </c>
      <c r="AD26" s="21" t="s">
        <v>162</v>
      </c>
      <c r="AE26" s="21" t="s">
        <v>162</v>
      </c>
      <c r="AF26" s="21" t="s">
        <v>162</v>
      </c>
      <c r="AG26" s="21" t="s">
        <v>162</v>
      </c>
      <c r="AH26" s="21" t="s">
        <v>162</v>
      </c>
      <c r="AI26" s="21" t="s">
        <v>162</v>
      </c>
      <c r="AJ26" s="21" t="s">
        <v>162</v>
      </c>
      <c r="AK26" s="21" t="s">
        <v>162</v>
      </c>
      <c r="AL26" s="21" t="s">
        <v>162</v>
      </c>
      <c r="AM26" s="21" t="s">
        <v>162</v>
      </c>
      <c r="AN26" s="21" t="s">
        <v>162</v>
      </c>
      <c r="AO26" s="21" t="s">
        <v>162</v>
      </c>
      <c r="AP26" s="21" t="s">
        <v>162</v>
      </c>
      <c r="AQ26" s="10" t="s">
        <v>285</v>
      </c>
      <c r="AR26" s="10" t="s">
        <v>286</v>
      </c>
      <c r="AS26" s="10" t="s">
        <v>300</v>
      </c>
      <c r="AT26" s="10" t="s">
        <v>304</v>
      </c>
      <c r="AU26" s="10" t="s">
        <v>162</v>
      </c>
      <c r="AV26" s="10" t="s">
        <v>162</v>
      </c>
      <c r="AW26" s="10"/>
    </row>
    <row r="27" spans="1:49">
      <c r="A27" s="10" t="s">
        <v>305</v>
      </c>
      <c r="B27" s="21" t="s">
        <v>162</v>
      </c>
      <c r="C27" s="10" t="s">
        <v>163</v>
      </c>
      <c r="D27" s="74">
        <v>44161</v>
      </c>
      <c r="E27" s="21" t="s">
        <v>299</v>
      </c>
      <c r="F27" s="75" t="str">
        <f>VLOOKUP($E27,'Item Classification'!B:C,2,0)</f>
        <v>Non-combat military vehicle</v>
      </c>
      <c r="G27" s="10" t="str">
        <f>VLOOKUP($E27,'Item Classification'!B:D,3,0)</f>
        <v>Other</v>
      </c>
      <c r="H27" s="76">
        <f>VLOOKUP($E27,'Item Classification'!B:E,4,0)</f>
        <v>16</v>
      </c>
      <c r="I27" s="81">
        <v>150</v>
      </c>
      <c r="J27" s="81" t="s">
        <v>162</v>
      </c>
      <c r="K27" s="81">
        <v>2021</v>
      </c>
      <c r="L27" s="81">
        <v>2022</v>
      </c>
      <c r="M27" s="81" t="s">
        <v>162</v>
      </c>
      <c r="N27" s="10" t="s">
        <v>292</v>
      </c>
      <c r="O27" s="10" t="s">
        <v>162</v>
      </c>
      <c r="P27" s="10" t="s">
        <v>163</v>
      </c>
      <c r="Q27" s="77">
        <v>11</v>
      </c>
      <c r="R27" s="77">
        <v>1</v>
      </c>
      <c r="S27" s="77">
        <v>0</v>
      </c>
      <c r="T27" s="77">
        <v>0</v>
      </c>
      <c r="U27" s="77">
        <v>1</v>
      </c>
      <c r="V27" s="77">
        <v>0</v>
      </c>
      <c r="W27" s="77">
        <v>0</v>
      </c>
      <c r="X27" s="77">
        <v>0</v>
      </c>
      <c r="Y27" s="21" t="s">
        <v>268</v>
      </c>
      <c r="Z27" s="21" t="s">
        <v>163</v>
      </c>
      <c r="AA27" s="21" t="s">
        <v>162</v>
      </c>
      <c r="AB27" s="21" t="s">
        <v>162</v>
      </c>
      <c r="AC27" s="21" t="s">
        <v>162</v>
      </c>
      <c r="AD27" s="21" t="s">
        <v>162</v>
      </c>
      <c r="AE27" s="21" t="s">
        <v>162</v>
      </c>
      <c r="AF27" s="21" t="s">
        <v>162</v>
      </c>
      <c r="AG27" s="21" t="s">
        <v>162</v>
      </c>
      <c r="AH27" s="21" t="s">
        <v>162</v>
      </c>
      <c r="AI27" s="21" t="s">
        <v>162</v>
      </c>
      <c r="AJ27" s="21" t="s">
        <v>162</v>
      </c>
      <c r="AK27" s="21" t="s">
        <v>162</v>
      </c>
      <c r="AL27" s="21" t="s">
        <v>162</v>
      </c>
      <c r="AM27" s="21" t="s">
        <v>162</v>
      </c>
      <c r="AN27" s="21" t="s">
        <v>162</v>
      </c>
      <c r="AO27" s="21" t="s">
        <v>162</v>
      </c>
      <c r="AP27" s="21" t="s">
        <v>162</v>
      </c>
      <c r="AQ27" s="10" t="s">
        <v>285</v>
      </c>
      <c r="AR27" s="10" t="s">
        <v>286</v>
      </c>
      <c r="AS27" s="10" t="s">
        <v>300</v>
      </c>
      <c r="AT27" s="10" t="s">
        <v>304</v>
      </c>
      <c r="AU27" s="10" t="s">
        <v>162</v>
      </c>
      <c r="AV27" s="10" t="s">
        <v>162</v>
      </c>
      <c r="AW27" s="10"/>
    </row>
    <row r="28" spans="1:49">
      <c r="A28" s="10" t="s">
        <v>306</v>
      </c>
      <c r="B28" s="21" t="s">
        <v>162</v>
      </c>
      <c r="C28" s="10" t="s">
        <v>163</v>
      </c>
      <c r="D28" s="74">
        <v>44161</v>
      </c>
      <c r="E28" s="21" t="s">
        <v>302</v>
      </c>
      <c r="F28" s="75" t="str">
        <f>VLOOKUP($E28,'Item Classification'!B:C,2,0)</f>
        <v>Non-combat military vehicle</v>
      </c>
      <c r="G28" s="10" t="str">
        <f>VLOOKUP($E28,'Item Classification'!B:D,3,0)</f>
        <v>Other</v>
      </c>
      <c r="H28" s="76">
        <f>VLOOKUP($E28,'Item Classification'!B:E,4,0)</f>
        <v>16</v>
      </c>
      <c r="I28" s="81">
        <v>850</v>
      </c>
      <c r="J28" s="81" t="s">
        <v>162</v>
      </c>
      <c r="K28" s="81">
        <v>2021</v>
      </c>
      <c r="L28" s="81">
        <v>2022</v>
      </c>
      <c r="M28" s="81" t="s">
        <v>162</v>
      </c>
      <c r="N28" s="10" t="s">
        <v>292</v>
      </c>
      <c r="O28" s="10" t="s">
        <v>162</v>
      </c>
      <c r="P28" s="10" t="s">
        <v>163</v>
      </c>
      <c r="Q28" s="77">
        <v>11</v>
      </c>
      <c r="R28" s="77">
        <v>1</v>
      </c>
      <c r="S28" s="77">
        <v>0</v>
      </c>
      <c r="T28" s="77">
        <v>0</v>
      </c>
      <c r="U28" s="77">
        <v>1</v>
      </c>
      <c r="V28" s="77">
        <v>0</v>
      </c>
      <c r="W28" s="77">
        <v>0</v>
      </c>
      <c r="X28" s="77">
        <v>0</v>
      </c>
      <c r="Y28" s="21" t="s">
        <v>268</v>
      </c>
      <c r="Z28" s="21" t="s">
        <v>163</v>
      </c>
      <c r="AA28" s="21" t="s">
        <v>162</v>
      </c>
      <c r="AB28" s="21" t="s">
        <v>162</v>
      </c>
      <c r="AC28" s="21" t="s">
        <v>162</v>
      </c>
      <c r="AD28" s="21" t="s">
        <v>162</v>
      </c>
      <c r="AE28" s="21" t="s">
        <v>162</v>
      </c>
      <c r="AF28" s="21" t="s">
        <v>162</v>
      </c>
      <c r="AG28" s="21" t="s">
        <v>162</v>
      </c>
      <c r="AH28" s="21" t="s">
        <v>162</v>
      </c>
      <c r="AI28" s="21" t="s">
        <v>162</v>
      </c>
      <c r="AJ28" s="21" t="s">
        <v>162</v>
      </c>
      <c r="AK28" s="21" t="s">
        <v>162</v>
      </c>
      <c r="AL28" s="21" t="s">
        <v>162</v>
      </c>
      <c r="AM28" s="21" t="s">
        <v>162</v>
      </c>
      <c r="AN28" s="21" t="s">
        <v>162</v>
      </c>
      <c r="AO28" s="21" t="s">
        <v>162</v>
      </c>
      <c r="AP28" s="21" t="s">
        <v>162</v>
      </c>
      <c r="AQ28" s="10" t="s">
        <v>285</v>
      </c>
      <c r="AR28" s="10" t="s">
        <v>286</v>
      </c>
      <c r="AS28" s="10" t="s">
        <v>300</v>
      </c>
      <c r="AT28" s="10" t="s">
        <v>304</v>
      </c>
      <c r="AU28" s="10" t="s">
        <v>162</v>
      </c>
      <c r="AV28" s="10" t="s">
        <v>162</v>
      </c>
      <c r="AW28" s="10"/>
    </row>
    <row r="29" spans="1:49">
      <c r="A29" s="10" t="s">
        <v>307</v>
      </c>
      <c r="B29" s="21" t="s">
        <v>162</v>
      </c>
      <c r="C29" s="10" t="s">
        <v>163</v>
      </c>
      <c r="D29" s="74">
        <v>44161</v>
      </c>
      <c r="E29" s="21" t="s">
        <v>162</v>
      </c>
      <c r="F29" s="75" t="s">
        <v>308</v>
      </c>
      <c r="G29" s="10" t="s">
        <v>296</v>
      </c>
      <c r="H29" s="76">
        <v>16</v>
      </c>
      <c r="I29" s="81" t="s">
        <v>162</v>
      </c>
      <c r="J29" s="81" t="s">
        <v>162</v>
      </c>
      <c r="K29" s="81" t="s">
        <v>162</v>
      </c>
      <c r="L29" s="81" t="s">
        <v>162</v>
      </c>
      <c r="M29" s="183">
        <v>48000000</v>
      </c>
      <c r="N29" s="10" t="s">
        <v>292</v>
      </c>
      <c r="O29" s="10" t="s">
        <v>162</v>
      </c>
      <c r="P29" s="10" t="s">
        <v>163</v>
      </c>
      <c r="Q29" s="77">
        <v>11</v>
      </c>
      <c r="R29" s="77">
        <v>0</v>
      </c>
      <c r="S29" s="77">
        <v>0</v>
      </c>
      <c r="T29" s="77">
        <v>0</v>
      </c>
      <c r="U29" s="77">
        <v>1</v>
      </c>
      <c r="V29" s="77">
        <v>0</v>
      </c>
      <c r="W29" s="77">
        <v>0</v>
      </c>
      <c r="X29" s="77">
        <v>0</v>
      </c>
      <c r="Y29" s="21" t="s">
        <v>268</v>
      </c>
      <c r="Z29" s="21" t="s">
        <v>163</v>
      </c>
      <c r="AA29" s="21" t="s">
        <v>162</v>
      </c>
      <c r="AB29" s="21" t="s">
        <v>162</v>
      </c>
      <c r="AC29" s="21" t="s">
        <v>162</v>
      </c>
      <c r="AD29" s="21" t="s">
        <v>162</v>
      </c>
      <c r="AE29" s="21" t="s">
        <v>162</v>
      </c>
      <c r="AF29" s="21" t="s">
        <v>162</v>
      </c>
      <c r="AG29" s="21" t="s">
        <v>162</v>
      </c>
      <c r="AH29" s="21" t="s">
        <v>162</v>
      </c>
      <c r="AI29" s="21" t="s">
        <v>162</v>
      </c>
      <c r="AJ29" s="21" t="s">
        <v>162</v>
      </c>
      <c r="AK29" s="21" t="s">
        <v>162</v>
      </c>
      <c r="AL29" s="21" t="s">
        <v>162</v>
      </c>
      <c r="AM29" s="21" t="s">
        <v>162</v>
      </c>
      <c r="AN29" s="21" t="s">
        <v>162</v>
      </c>
      <c r="AO29" s="21" t="s">
        <v>162</v>
      </c>
      <c r="AP29" s="21" t="s">
        <v>162</v>
      </c>
      <c r="AQ29" s="10" t="s">
        <v>285</v>
      </c>
      <c r="AR29" s="10" t="s">
        <v>286</v>
      </c>
      <c r="AS29" s="10" t="s">
        <v>309</v>
      </c>
      <c r="AT29" s="10" t="s">
        <v>310</v>
      </c>
      <c r="AU29" s="10" t="s">
        <v>162</v>
      </c>
      <c r="AV29" s="10" t="s">
        <v>162</v>
      </c>
      <c r="AW29" s="10"/>
    </row>
    <row r="30" spans="1:49">
      <c r="A30" s="10" t="s">
        <v>311</v>
      </c>
      <c r="B30" s="21" t="s">
        <v>162</v>
      </c>
      <c r="C30" s="10" t="s">
        <v>163</v>
      </c>
      <c r="D30" s="74">
        <v>44161</v>
      </c>
      <c r="E30" s="21" t="s">
        <v>312</v>
      </c>
      <c r="F30" s="75" t="str">
        <f>VLOOKUP($E30,'Item Classification'!B:C,2,0)</f>
        <v>Non-combat military vehicle part</v>
      </c>
      <c r="G30" s="10" t="str">
        <f>VLOOKUP($E30,'Item Classification'!B:D,3,0)</f>
        <v>Other</v>
      </c>
      <c r="H30" s="76">
        <f>VLOOKUP($E30,'Item Classification'!B:E,4,0)</f>
        <v>16</v>
      </c>
      <c r="I30" s="81">
        <v>900</v>
      </c>
      <c r="J30" s="81" t="s">
        <v>162</v>
      </c>
      <c r="K30" s="81" t="s">
        <v>162</v>
      </c>
      <c r="L30" s="81" t="s">
        <v>162</v>
      </c>
      <c r="M30" s="81" t="s">
        <v>162</v>
      </c>
      <c r="N30" s="10" t="s">
        <v>292</v>
      </c>
      <c r="O30" s="10" t="s">
        <v>162</v>
      </c>
      <c r="P30" s="10" t="s">
        <v>163</v>
      </c>
      <c r="Q30" s="77">
        <v>11</v>
      </c>
      <c r="R30" s="77">
        <v>0</v>
      </c>
      <c r="S30" s="77">
        <v>0</v>
      </c>
      <c r="T30" s="77">
        <v>0</v>
      </c>
      <c r="U30" s="77">
        <v>1</v>
      </c>
      <c r="V30" s="77">
        <v>0</v>
      </c>
      <c r="W30" s="77">
        <v>0</v>
      </c>
      <c r="X30" s="77">
        <v>0</v>
      </c>
      <c r="Y30" s="21" t="s">
        <v>268</v>
      </c>
      <c r="Z30" s="21" t="s">
        <v>163</v>
      </c>
      <c r="AA30" s="21" t="s">
        <v>162</v>
      </c>
      <c r="AB30" s="21" t="s">
        <v>162</v>
      </c>
      <c r="AC30" s="21" t="s">
        <v>162</v>
      </c>
      <c r="AD30" s="21" t="s">
        <v>162</v>
      </c>
      <c r="AE30" s="21" t="s">
        <v>162</v>
      </c>
      <c r="AF30" s="21" t="s">
        <v>162</v>
      </c>
      <c r="AG30" s="21" t="s">
        <v>162</v>
      </c>
      <c r="AH30" s="21" t="s">
        <v>162</v>
      </c>
      <c r="AI30" s="21" t="s">
        <v>162</v>
      </c>
      <c r="AJ30" s="21" t="s">
        <v>162</v>
      </c>
      <c r="AK30" s="21" t="s">
        <v>162</v>
      </c>
      <c r="AL30" s="21" t="s">
        <v>162</v>
      </c>
      <c r="AM30" s="21" t="s">
        <v>162</v>
      </c>
      <c r="AN30" s="21" t="s">
        <v>162</v>
      </c>
      <c r="AO30" s="21" t="s">
        <v>162</v>
      </c>
      <c r="AP30" s="21" t="s">
        <v>162</v>
      </c>
      <c r="AQ30" s="10" t="s">
        <v>285</v>
      </c>
      <c r="AR30" s="10" t="s">
        <v>286</v>
      </c>
      <c r="AS30" s="10" t="s">
        <v>309</v>
      </c>
      <c r="AT30" s="10" t="s">
        <v>310</v>
      </c>
      <c r="AU30" s="10" t="s">
        <v>162</v>
      </c>
      <c r="AV30" s="10" t="s">
        <v>162</v>
      </c>
      <c r="AW30" s="10"/>
    </row>
    <row r="31" spans="1:49">
      <c r="A31" s="10" t="s">
        <v>313</v>
      </c>
      <c r="B31" s="21" t="s">
        <v>162</v>
      </c>
      <c r="C31" s="10" t="s">
        <v>163</v>
      </c>
      <c r="D31" s="74">
        <v>44161</v>
      </c>
      <c r="E31" s="21" t="s">
        <v>314</v>
      </c>
      <c r="F31" s="75" t="str">
        <f>VLOOKUP($E31,'Item Classification'!B:C,2,0)</f>
        <v>Non-combat military vehicle part</v>
      </c>
      <c r="G31" s="10" t="str">
        <f>VLOOKUP($E31,'Item Classification'!B:D,3,0)</f>
        <v>Other</v>
      </c>
      <c r="H31" s="76">
        <f>VLOOKUP($E31,'Item Classification'!B:E,4,0)</f>
        <v>16</v>
      </c>
      <c r="I31" s="81">
        <v>950</v>
      </c>
      <c r="J31" s="81" t="s">
        <v>162</v>
      </c>
      <c r="K31" s="81" t="s">
        <v>162</v>
      </c>
      <c r="L31" s="81" t="s">
        <v>162</v>
      </c>
      <c r="M31" s="81" t="s">
        <v>162</v>
      </c>
      <c r="N31" s="10" t="s">
        <v>292</v>
      </c>
      <c r="O31" s="10" t="s">
        <v>162</v>
      </c>
      <c r="P31" s="10" t="s">
        <v>163</v>
      </c>
      <c r="Q31" s="77">
        <v>11</v>
      </c>
      <c r="R31" s="77">
        <v>0</v>
      </c>
      <c r="S31" s="77">
        <v>0</v>
      </c>
      <c r="T31" s="77">
        <v>0</v>
      </c>
      <c r="U31" s="77">
        <v>1</v>
      </c>
      <c r="V31" s="77">
        <v>0</v>
      </c>
      <c r="W31" s="77">
        <v>0</v>
      </c>
      <c r="X31" s="77">
        <v>0</v>
      </c>
      <c r="Y31" s="21" t="s">
        <v>268</v>
      </c>
      <c r="Z31" s="21" t="s">
        <v>163</v>
      </c>
      <c r="AA31" s="21" t="s">
        <v>162</v>
      </c>
      <c r="AB31" s="21" t="s">
        <v>162</v>
      </c>
      <c r="AC31" s="21" t="s">
        <v>162</v>
      </c>
      <c r="AD31" s="21" t="s">
        <v>162</v>
      </c>
      <c r="AE31" s="21" t="s">
        <v>162</v>
      </c>
      <c r="AF31" s="21" t="s">
        <v>162</v>
      </c>
      <c r="AG31" s="21" t="s">
        <v>162</v>
      </c>
      <c r="AH31" s="21" t="s">
        <v>162</v>
      </c>
      <c r="AI31" s="21" t="s">
        <v>162</v>
      </c>
      <c r="AJ31" s="21" t="s">
        <v>162</v>
      </c>
      <c r="AK31" s="21" t="s">
        <v>162</v>
      </c>
      <c r="AL31" s="21" t="s">
        <v>162</v>
      </c>
      <c r="AM31" s="21" t="s">
        <v>162</v>
      </c>
      <c r="AN31" s="21" t="s">
        <v>162</v>
      </c>
      <c r="AO31" s="21" t="s">
        <v>162</v>
      </c>
      <c r="AP31" s="21" t="s">
        <v>162</v>
      </c>
      <c r="AQ31" s="10" t="s">
        <v>285</v>
      </c>
      <c r="AR31" s="10" t="s">
        <v>286</v>
      </c>
      <c r="AS31" s="10" t="s">
        <v>309</v>
      </c>
      <c r="AT31" s="10" t="s">
        <v>310</v>
      </c>
      <c r="AU31" s="10" t="s">
        <v>162</v>
      </c>
      <c r="AV31" s="10" t="s">
        <v>162</v>
      </c>
      <c r="AW31" s="10"/>
    </row>
    <row r="32" spans="1:49">
      <c r="A32" s="10" t="s">
        <v>315</v>
      </c>
      <c r="B32" s="21" t="s">
        <v>162</v>
      </c>
      <c r="C32" s="10" t="s">
        <v>163</v>
      </c>
      <c r="D32" s="74">
        <v>44182</v>
      </c>
      <c r="E32" s="10" t="s">
        <v>316</v>
      </c>
      <c r="F32" s="75" t="str">
        <f>VLOOKUP($E32,'Item Classification'!B:C,2,0)</f>
        <v>Industrial company purchase</v>
      </c>
      <c r="G32" s="10" t="str">
        <f>VLOOKUP($E32,'Item Classification'!B:D,3,0)</f>
        <v>Other</v>
      </c>
      <c r="H32" s="76">
        <f>VLOOKUP($E32,'Item Classification'!B:E,4,0)</f>
        <v>16</v>
      </c>
      <c r="I32" s="81" t="s">
        <v>162</v>
      </c>
      <c r="J32" s="81" t="s">
        <v>162</v>
      </c>
      <c r="K32" s="81" t="s">
        <v>162</v>
      </c>
      <c r="L32" s="81" t="s">
        <v>162</v>
      </c>
      <c r="M32" s="183">
        <v>450000000</v>
      </c>
      <c r="N32" s="10" t="s">
        <v>165</v>
      </c>
      <c r="O32" s="10" t="s">
        <v>162</v>
      </c>
      <c r="P32" s="10" t="s">
        <v>163</v>
      </c>
      <c r="Q32" s="77">
        <v>12</v>
      </c>
      <c r="R32" s="77">
        <v>0</v>
      </c>
      <c r="S32" s="77">
        <v>0</v>
      </c>
      <c r="T32" s="77">
        <v>0</v>
      </c>
      <c r="U32" s="77">
        <v>1</v>
      </c>
      <c r="V32" s="77">
        <v>0</v>
      </c>
      <c r="W32" s="77">
        <v>0</v>
      </c>
      <c r="X32" s="77">
        <v>0</v>
      </c>
      <c r="Y32" s="21" t="s">
        <v>179</v>
      </c>
      <c r="Z32" s="21" t="s">
        <v>163</v>
      </c>
      <c r="AA32" s="21" t="s">
        <v>162</v>
      </c>
      <c r="AB32" s="10" t="s">
        <v>162</v>
      </c>
      <c r="AC32" s="21" t="s">
        <v>162</v>
      </c>
      <c r="AD32" s="21" t="s">
        <v>162</v>
      </c>
      <c r="AE32" s="21" t="s">
        <v>162</v>
      </c>
      <c r="AF32" s="21" t="s">
        <v>162</v>
      </c>
      <c r="AG32" s="10" t="s">
        <v>162</v>
      </c>
      <c r="AH32" s="21" t="s">
        <v>162</v>
      </c>
      <c r="AI32" s="21" t="s">
        <v>162</v>
      </c>
      <c r="AJ32" s="21" t="s">
        <v>162</v>
      </c>
      <c r="AK32" s="21" t="s">
        <v>162</v>
      </c>
      <c r="AL32" s="21" t="s">
        <v>162</v>
      </c>
      <c r="AM32" s="21" t="s">
        <v>162</v>
      </c>
      <c r="AN32" s="21" t="s">
        <v>162</v>
      </c>
      <c r="AO32" s="10" t="s">
        <v>162</v>
      </c>
      <c r="AP32" s="21" t="s">
        <v>162</v>
      </c>
      <c r="AQ32" s="10" t="s">
        <v>317</v>
      </c>
      <c r="AR32" s="10" t="s">
        <v>318</v>
      </c>
      <c r="AS32" s="10" t="s">
        <v>162</v>
      </c>
      <c r="AT32" s="10" t="s">
        <v>319</v>
      </c>
      <c r="AU32" s="10" t="s">
        <v>162</v>
      </c>
      <c r="AV32" s="10" t="s">
        <v>162</v>
      </c>
      <c r="AW32" s="10"/>
    </row>
    <row r="33" spans="1:49">
      <c r="A33" s="10" t="s">
        <v>320</v>
      </c>
      <c r="B33" s="21" t="s">
        <v>162</v>
      </c>
      <c r="C33" s="10" t="s">
        <v>163</v>
      </c>
      <c r="D33" s="74">
        <v>44237</v>
      </c>
      <c r="E33" s="10" t="s">
        <v>162</v>
      </c>
      <c r="F33" s="75" t="s">
        <v>321</v>
      </c>
      <c r="G33" s="10" t="s">
        <v>322</v>
      </c>
      <c r="H33" s="76">
        <v>6</v>
      </c>
      <c r="I33" s="81" t="s">
        <v>162</v>
      </c>
      <c r="J33" s="81" t="s">
        <v>162</v>
      </c>
      <c r="K33" s="81" t="s">
        <v>162</v>
      </c>
      <c r="L33" s="81" t="s">
        <v>162</v>
      </c>
      <c r="M33" s="183">
        <v>88000000</v>
      </c>
      <c r="N33" s="10" t="s">
        <v>165</v>
      </c>
      <c r="O33" s="10" t="s">
        <v>162</v>
      </c>
      <c r="P33" s="10" t="s">
        <v>163</v>
      </c>
      <c r="Q33" s="77">
        <v>14</v>
      </c>
      <c r="R33" s="77">
        <v>1</v>
      </c>
      <c r="S33" s="77">
        <v>0</v>
      </c>
      <c r="T33" s="77">
        <v>0</v>
      </c>
      <c r="U33" s="77">
        <v>1</v>
      </c>
      <c r="V33" s="77">
        <v>1</v>
      </c>
      <c r="W33" s="77">
        <v>0</v>
      </c>
      <c r="X33" s="77">
        <v>1</v>
      </c>
      <c r="Y33" s="21" t="s">
        <v>323</v>
      </c>
      <c r="Z33" s="21" t="s">
        <v>163</v>
      </c>
      <c r="AA33" s="21" t="s">
        <v>162</v>
      </c>
      <c r="AB33" s="21" t="s">
        <v>268</v>
      </c>
      <c r="AC33" s="21" t="s">
        <v>213</v>
      </c>
      <c r="AD33" s="21" t="s">
        <v>324</v>
      </c>
      <c r="AE33" s="21" t="s">
        <v>162</v>
      </c>
      <c r="AF33" s="21" t="s">
        <v>181</v>
      </c>
      <c r="AG33" s="21" t="s">
        <v>162</v>
      </c>
      <c r="AH33" s="21" t="s">
        <v>162</v>
      </c>
      <c r="AI33" s="21" t="s">
        <v>162</v>
      </c>
      <c r="AJ33" s="21" t="s">
        <v>162</v>
      </c>
      <c r="AK33" s="21" t="s">
        <v>162</v>
      </c>
      <c r="AL33" s="21" t="s">
        <v>162</v>
      </c>
      <c r="AM33" s="21" t="s">
        <v>162</v>
      </c>
      <c r="AN33" s="21" t="s">
        <v>162</v>
      </c>
      <c r="AO33" s="21" t="s">
        <v>162</v>
      </c>
      <c r="AP33" s="21" t="s">
        <v>162</v>
      </c>
      <c r="AQ33" s="10" t="s">
        <v>325</v>
      </c>
      <c r="AR33" s="10" t="s">
        <v>326</v>
      </c>
      <c r="AS33" s="10" t="s">
        <v>162</v>
      </c>
      <c r="AT33" s="10" t="s">
        <v>327</v>
      </c>
      <c r="AU33" s="10" t="s">
        <v>328</v>
      </c>
      <c r="AV33" s="10" t="s">
        <v>162</v>
      </c>
      <c r="AW33" s="10"/>
    </row>
    <row r="34" spans="1:49">
      <c r="A34" s="10" t="s">
        <v>329</v>
      </c>
      <c r="B34" s="21" t="s">
        <v>162</v>
      </c>
      <c r="C34" s="10" t="s">
        <v>163</v>
      </c>
      <c r="D34" s="74">
        <v>44237</v>
      </c>
      <c r="E34" s="10" t="s">
        <v>330</v>
      </c>
      <c r="F34" s="75" t="str">
        <f>VLOOKUP($E34,'Item Classification'!B:C,2,0)</f>
        <v>Anti-tank guided missile</v>
      </c>
      <c r="G34" s="10" t="str">
        <f>VLOOKUP($E34,'Item Classification'!B:D,3,0)</f>
        <v>Missile (Land)</v>
      </c>
      <c r="H34" s="76">
        <f>VLOOKUP($E34,'Item Classification'!B:E,4,0)</f>
        <v>6</v>
      </c>
      <c r="I34" s="81">
        <v>666</v>
      </c>
      <c r="J34" s="81" t="s">
        <v>162</v>
      </c>
      <c r="K34" s="81">
        <v>2022</v>
      </c>
      <c r="L34" s="81">
        <v>2024</v>
      </c>
      <c r="M34" s="81" t="s">
        <v>162</v>
      </c>
      <c r="N34" s="10" t="s">
        <v>165</v>
      </c>
      <c r="O34" s="10" t="s">
        <v>162</v>
      </c>
      <c r="P34" s="10" t="s">
        <v>163</v>
      </c>
      <c r="Q34" s="77">
        <v>14</v>
      </c>
      <c r="R34" s="77">
        <v>1</v>
      </c>
      <c r="S34" s="77">
        <v>0</v>
      </c>
      <c r="T34" s="77">
        <v>0</v>
      </c>
      <c r="U34" s="77">
        <v>1</v>
      </c>
      <c r="V34" s="77">
        <v>1</v>
      </c>
      <c r="W34" s="77">
        <v>0</v>
      </c>
      <c r="X34" s="77">
        <v>1</v>
      </c>
      <c r="Y34" s="21" t="s">
        <v>323</v>
      </c>
      <c r="Z34" s="21" t="s">
        <v>163</v>
      </c>
      <c r="AA34" s="21" t="s">
        <v>162</v>
      </c>
      <c r="AB34" s="21" t="s">
        <v>268</v>
      </c>
      <c r="AC34" s="21" t="s">
        <v>213</v>
      </c>
      <c r="AD34" s="21" t="s">
        <v>324</v>
      </c>
      <c r="AE34" s="21" t="s">
        <v>162</v>
      </c>
      <c r="AF34" s="21" t="s">
        <v>181</v>
      </c>
      <c r="AG34" s="21" t="s">
        <v>162</v>
      </c>
      <c r="AH34" s="21" t="s">
        <v>162</v>
      </c>
      <c r="AI34" s="21" t="s">
        <v>162</v>
      </c>
      <c r="AJ34" s="21" t="s">
        <v>162</v>
      </c>
      <c r="AK34" s="21" t="s">
        <v>162</v>
      </c>
      <c r="AL34" s="21" t="s">
        <v>162</v>
      </c>
      <c r="AM34" s="21" t="s">
        <v>162</v>
      </c>
      <c r="AN34" s="21" t="s">
        <v>162</v>
      </c>
      <c r="AO34" s="21" t="s">
        <v>162</v>
      </c>
      <c r="AP34" s="21" t="s">
        <v>162</v>
      </c>
      <c r="AQ34" s="10" t="s">
        <v>325</v>
      </c>
      <c r="AR34" s="10" t="s">
        <v>326</v>
      </c>
      <c r="AS34" s="10" t="s">
        <v>162</v>
      </c>
      <c r="AT34" s="10" t="s">
        <v>327</v>
      </c>
      <c r="AU34" s="10" t="s">
        <v>328</v>
      </c>
      <c r="AV34" s="10" t="s">
        <v>162</v>
      </c>
      <c r="AW34" s="10"/>
    </row>
    <row r="35" spans="1:49">
      <c r="A35" s="10" t="s">
        <v>331</v>
      </c>
      <c r="B35" s="21" t="s">
        <v>162</v>
      </c>
      <c r="C35" s="10" t="s">
        <v>163</v>
      </c>
      <c r="D35" s="74">
        <v>44237</v>
      </c>
      <c r="E35" s="10" t="s">
        <v>332</v>
      </c>
      <c r="F35" s="75" t="str">
        <f>VLOOKUP($E35,'Item Classification'!B:C,2,0)</f>
        <v>Anti-tank guided missile system</v>
      </c>
      <c r="G35" s="10" t="str">
        <f>VLOOKUP($E35,'Item Classification'!B:D,3,0)</f>
        <v>Missile (Land)</v>
      </c>
      <c r="H35" s="76">
        <f>VLOOKUP($E35,'Item Classification'!B:E,4,0)</f>
        <v>6</v>
      </c>
      <c r="I35" s="81">
        <v>82</v>
      </c>
      <c r="J35" s="81" t="s">
        <v>162</v>
      </c>
      <c r="K35" s="81">
        <v>2022</v>
      </c>
      <c r="L35" s="81">
        <v>2024</v>
      </c>
      <c r="M35" s="81" t="s">
        <v>162</v>
      </c>
      <c r="N35" s="10" t="s">
        <v>165</v>
      </c>
      <c r="O35" s="10" t="s">
        <v>162</v>
      </c>
      <c r="P35" s="10" t="s">
        <v>163</v>
      </c>
      <c r="Q35" s="77">
        <v>14</v>
      </c>
      <c r="R35" s="77">
        <v>1</v>
      </c>
      <c r="S35" s="77">
        <v>0</v>
      </c>
      <c r="T35" s="77">
        <v>0</v>
      </c>
      <c r="U35" s="77">
        <v>1</v>
      </c>
      <c r="V35" s="77">
        <v>1</v>
      </c>
      <c r="W35" s="77">
        <v>0</v>
      </c>
      <c r="X35" s="77">
        <v>1</v>
      </c>
      <c r="Y35" s="21" t="s">
        <v>323</v>
      </c>
      <c r="Z35" s="21" t="s">
        <v>163</v>
      </c>
      <c r="AA35" s="21" t="s">
        <v>162</v>
      </c>
      <c r="AB35" s="21" t="s">
        <v>268</v>
      </c>
      <c r="AC35" s="21" t="s">
        <v>213</v>
      </c>
      <c r="AD35" s="21" t="s">
        <v>324</v>
      </c>
      <c r="AE35" s="21" t="s">
        <v>162</v>
      </c>
      <c r="AF35" s="21" t="s">
        <v>181</v>
      </c>
      <c r="AG35" s="21" t="s">
        <v>162</v>
      </c>
      <c r="AH35" s="21" t="s">
        <v>162</v>
      </c>
      <c r="AI35" s="21" t="s">
        <v>162</v>
      </c>
      <c r="AJ35" s="21" t="s">
        <v>162</v>
      </c>
      <c r="AK35" s="21" t="s">
        <v>162</v>
      </c>
      <c r="AL35" s="21" t="s">
        <v>162</v>
      </c>
      <c r="AM35" s="21" t="s">
        <v>162</v>
      </c>
      <c r="AN35" s="21" t="s">
        <v>162</v>
      </c>
      <c r="AO35" s="21" t="s">
        <v>162</v>
      </c>
      <c r="AP35" s="21" t="s">
        <v>162</v>
      </c>
      <c r="AQ35" s="10" t="s">
        <v>325</v>
      </c>
      <c r="AR35" s="10" t="s">
        <v>326</v>
      </c>
      <c r="AS35" s="10" t="s">
        <v>162</v>
      </c>
      <c r="AT35" s="10" t="s">
        <v>327</v>
      </c>
      <c r="AU35" s="10" t="s">
        <v>328</v>
      </c>
      <c r="AV35" s="10" t="s">
        <v>162</v>
      </c>
      <c r="AW35" s="10"/>
    </row>
    <row r="36" spans="1:49">
      <c r="A36" s="10" t="s">
        <v>333</v>
      </c>
      <c r="B36" s="21" t="s">
        <v>162</v>
      </c>
      <c r="C36" s="10" t="s">
        <v>163</v>
      </c>
      <c r="D36" s="74">
        <v>44300</v>
      </c>
      <c r="E36" s="10" t="s">
        <v>334</v>
      </c>
      <c r="F36" s="75" t="str">
        <f>VLOOKUP($E36,'Item Classification'!B:C,2,0)</f>
        <v>Armoured engineer vehicle</v>
      </c>
      <c r="G36" s="10" t="str">
        <f>VLOOKUP($E36,'Item Classification'!B:D,3,0)</f>
        <v>Armoured vehicle</v>
      </c>
      <c r="H36" s="76">
        <f>VLOOKUP($E36,'Item Classification'!B:E,4,0)</f>
        <v>2</v>
      </c>
      <c r="I36" s="81">
        <v>44</v>
      </c>
      <c r="J36" s="182">
        <f>M36/I36</f>
        <v>6704545.4545454541</v>
      </c>
      <c r="K36" s="81">
        <v>2023</v>
      </c>
      <c r="L36" s="81">
        <v>2029</v>
      </c>
      <c r="M36" s="183">
        <v>295000000</v>
      </c>
      <c r="N36" s="10" t="s">
        <v>165</v>
      </c>
      <c r="O36" s="10" t="s">
        <v>162</v>
      </c>
      <c r="P36" s="10" t="s">
        <v>163</v>
      </c>
      <c r="Q36" s="77">
        <v>16</v>
      </c>
      <c r="R36" s="77">
        <v>0</v>
      </c>
      <c r="S36" s="77">
        <v>0</v>
      </c>
      <c r="T36" s="77">
        <v>0</v>
      </c>
      <c r="U36" s="77">
        <v>1</v>
      </c>
      <c r="V36" s="77">
        <v>0</v>
      </c>
      <c r="W36" s="77">
        <v>0</v>
      </c>
      <c r="X36" s="77">
        <v>0</v>
      </c>
      <c r="Y36" s="21" t="s">
        <v>268</v>
      </c>
      <c r="Z36" s="21" t="s">
        <v>163</v>
      </c>
      <c r="AA36" s="21" t="s">
        <v>162</v>
      </c>
      <c r="AB36" s="21" t="s">
        <v>162</v>
      </c>
      <c r="AC36" s="21" t="s">
        <v>162</v>
      </c>
      <c r="AD36" s="21" t="s">
        <v>162</v>
      </c>
      <c r="AE36" s="21" t="s">
        <v>162</v>
      </c>
      <c r="AF36" s="21" t="s">
        <v>162</v>
      </c>
      <c r="AG36" s="21" t="s">
        <v>162</v>
      </c>
      <c r="AH36" s="21" t="s">
        <v>162</v>
      </c>
      <c r="AI36" s="21" t="s">
        <v>162</v>
      </c>
      <c r="AJ36" s="21" t="s">
        <v>162</v>
      </c>
      <c r="AK36" s="21" t="s">
        <v>162</v>
      </c>
      <c r="AL36" s="21" t="s">
        <v>162</v>
      </c>
      <c r="AM36" s="21" t="s">
        <v>162</v>
      </c>
      <c r="AN36" s="21" t="s">
        <v>162</v>
      </c>
      <c r="AO36" s="21" t="s">
        <v>162</v>
      </c>
      <c r="AP36" s="21" t="s">
        <v>162</v>
      </c>
      <c r="AQ36" s="10" t="s">
        <v>335</v>
      </c>
      <c r="AR36" s="10" t="s">
        <v>336</v>
      </c>
      <c r="AS36" s="10" t="s">
        <v>162</v>
      </c>
      <c r="AT36" s="10" t="s">
        <v>337</v>
      </c>
      <c r="AU36" s="10" t="s">
        <v>338</v>
      </c>
      <c r="AV36" s="10" t="s">
        <v>162</v>
      </c>
      <c r="AW36" s="10"/>
    </row>
    <row r="37" spans="1:49">
      <c r="A37" s="10" t="s">
        <v>339</v>
      </c>
      <c r="B37" s="21" t="s">
        <v>162</v>
      </c>
      <c r="C37" s="10" t="s">
        <v>163</v>
      </c>
      <c r="D37" s="74">
        <v>44300</v>
      </c>
      <c r="E37" s="10" t="s">
        <v>340</v>
      </c>
      <c r="F37" s="75" t="str">
        <f>VLOOKUP($E37,'Item Classification'!B:C,2,0)</f>
        <v>Naval reconnaissance drone</v>
      </c>
      <c r="G37" s="10" t="str">
        <f>VLOOKUP($E37,'Item Classification'!B:D,3,0)</f>
        <v>Naval</v>
      </c>
      <c r="H37" s="76">
        <f>VLOOKUP($E37,'Item Classification'!B:E,4,0)</f>
        <v>12</v>
      </c>
      <c r="I37" s="81">
        <v>5</v>
      </c>
      <c r="J37" s="182">
        <f>M37/I37</f>
        <v>15600000</v>
      </c>
      <c r="K37" s="81">
        <v>2021</v>
      </c>
      <c r="L37" s="81">
        <v>2025</v>
      </c>
      <c r="M37" s="183">
        <v>78000000</v>
      </c>
      <c r="N37" s="10" t="s">
        <v>165</v>
      </c>
      <c r="O37" s="10" t="s">
        <v>162</v>
      </c>
      <c r="P37" s="10" t="s">
        <v>163</v>
      </c>
      <c r="Q37" s="77">
        <v>16</v>
      </c>
      <c r="R37" s="77">
        <v>0</v>
      </c>
      <c r="S37" s="77">
        <v>0</v>
      </c>
      <c r="T37" s="77">
        <v>0</v>
      </c>
      <c r="U37" s="77">
        <v>1</v>
      </c>
      <c r="V37" s="77">
        <v>1</v>
      </c>
      <c r="W37" s="77">
        <v>0</v>
      </c>
      <c r="X37" s="77">
        <v>1</v>
      </c>
      <c r="Y37" s="21" t="s">
        <v>341</v>
      </c>
      <c r="Z37" s="21" t="s">
        <v>163</v>
      </c>
      <c r="AA37" s="21" t="s">
        <v>163</v>
      </c>
      <c r="AB37" s="10" t="s">
        <v>342</v>
      </c>
      <c r="AC37" s="21" t="s">
        <v>343</v>
      </c>
      <c r="AD37" s="10" t="s">
        <v>177</v>
      </c>
      <c r="AE37" s="21" t="s">
        <v>344</v>
      </c>
      <c r="AF37" s="21" t="s">
        <v>232</v>
      </c>
      <c r="AG37" s="21" t="s">
        <v>162</v>
      </c>
      <c r="AH37" s="21" t="s">
        <v>162</v>
      </c>
      <c r="AI37" s="21" t="s">
        <v>162</v>
      </c>
      <c r="AJ37" s="21" t="s">
        <v>162</v>
      </c>
      <c r="AK37" s="21" t="s">
        <v>162</v>
      </c>
      <c r="AL37" s="21" t="s">
        <v>162</v>
      </c>
      <c r="AM37" s="21" t="s">
        <v>162</v>
      </c>
      <c r="AN37" s="21" t="s">
        <v>162</v>
      </c>
      <c r="AO37" s="21" t="s">
        <v>232</v>
      </c>
      <c r="AP37" s="21" t="s">
        <v>162</v>
      </c>
      <c r="AQ37" s="10" t="s">
        <v>335</v>
      </c>
      <c r="AR37" s="10" t="s">
        <v>345</v>
      </c>
      <c r="AS37" s="10" t="s">
        <v>162</v>
      </c>
      <c r="AT37" s="10" t="s">
        <v>346</v>
      </c>
      <c r="AU37" s="10" t="s">
        <v>162</v>
      </c>
      <c r="AV37" s="10" t="s">
        <v>162</v>
      </c>
      <c r="AW37" s="10"/>
    </row>
    <row r="38" spans="1:49">
      <c r="A38" s="10" t="s">
        <v>347</v>
      </c>
      <c r="B38" s="21" t="s">
        <v>162</v>
      </c>
      <c r="C38" s="10" t="s">
        <v>163</v>
      </c>
      <c r="D38" s="74">
        <v>44300</v>
      </c>
      <c r="E38" s="10" t="s">
        <v>348</v>
      </c>
      <c r="F38" s="75" t="str">
        <f>VLOOKUP($E38,'Item Classification'!B:C,2,0)</f>
        <v>Light utility helicopter</v>
      </c>
      <c r="G38" s="10" t="str">
        <f>VLOOKUP($E38,'Item Classification'!B:D,3,0)</f>
        <v>Helicopter</v>
      </c>
      <c r="H38" s="76">
        <f>VLOOKUP($E38,'Item Classification'!B:E,4,0)</f>
        <v>10</v>
      </c>
      <c r="I38" s="81">
        <v>7</v>
      </c>
      <c r="J38" s="182">
        <f>M38/I38</f>
        <v>9000000</v>
      </c>
      <c r="K38" s="81">
        <v>2021</v>
      </c>
      <c r="L38" s="81">
        <v>2024</v>
      </c>
      <c r="M38" s="183">
        <v>63000000</v>
      </c>
      <c r="N38" s="10" t="s">
        <v>165</v>
      </c>
      <c r="O38" s="10" t="s">
        <v>162</v>
      </c>
      <c r="P38" s="10" t="s">
        <v>163</v>
      </c>
      <c r="Q38" s="77">
        <v>16</v>
      </c>
      <c r="R38" s="77">
        <v>0</v>
      </c>
      <c r="S38" s="77">
        <v>0</v>
      </c>
      <c r="T38" s="77">
        <v>0</v>
      </c>
      <c r="U38" s="77">
        <v>1</v>
      </c>
      <c r="V38" s="77">
        <v>1</v>
      </c>
      <c r="W38" s="77">
        <v>0</v>
      </c>
      <c r="X38" s="77">
        <v>1</v>
      </c>
      <c r="Y38" s="21" t="s">
        <v>188</v>
      </c>
      <c r="Z38" s="21" t="s">
        <v>163</v>
      </c>
      <c r="AA38" s="21" t="s">
        <v>162</v>
      </c>
      <c r="AB38" s="21" t="s">
        <v>349</v>
      </c>
      <c r="AC38" s="21" t="s">
        <v>162</v>
      </c>
      <c r="AD38" s="21" t="s">
        <v>162</v>
      </c>
      <c r="AE38" s="21" t="s">
        <v>162</v>
      </c>
      <c r="AF38" s="21" t="s">
        <v>181</v>
      </c>
      <c r="AG38" s="21" t="s">
        <v>162</v>
      </c>
      <c r="AH38" s="21" t="s">
        <v>162</v>
      </c>
      <c r="AI38" s="21" t="s">
        <v>162</v>
      </c>
      <c r="AJ38" s="21" t="s">
        <v>162</v>
      </c>
      <c r="AK38" s="21" t="s">
        <v>162</v>
      </c>
      <c r="AL38" s="21" t="s">
        <v>162</v>
      </c>
      <c r="AM38" s="21" t="s">
        <v>162</v>
      </c>
      <c r="AN38" s="21" t="s">
        <v>162</v>
      </c>
      <c r="AO38" s="21" t="s">
        <v>162</v>
      </c>
      <c r="AP38" s="21" t="s">
        <v>162</v>
      </c>
      <c r="AQ38" s="10" t="s">
        <v>335</v>
      </c>
      <c r="AR38" s="10" t="s">
        <v>350</v>
      </c>
      <c r="AS38" s="10" t="s">
        <v>162</v>
      </c>
      <c r="AT38" s="10" t="s">
        <v>351</v>
      </c>
      <c r="AU38" s="10" t="s">
        <v>162</v>
      </c>
      <c r="AV38" s="10" t="s">
        <v>162</v>
      </c>
      <c r="AW38" s="10"/>
    </row>
    <row r="39" spans="1:49">
      <c r="A39" s="10" t="s">
        <v>352</v>
      </c>
      <c r="B39" s="21" t="s">
        <v>162</v>
      </c>
      <c r="C39" s="10" t="s">
        <v>163</v>
      </c>
      <c r="D39" s="74">
        <v>44300</v>
      </c>
      <c r="E39" s="10" t="s">
        <v>353</v>
      </c>
      <c r="F39" s="75" t="str">
        <f>VLOOKUP($E39,'Item Classification'!B:C,2,0)</f>
        <v>Radar warning system for fighter jet</v>
      </c>
      <c r="G39" s="10" t="str">
        <f>VLOOKUP($E39,'Item Classification'!B:D,3,0)</f>
        <v>Aircraft</v>
      </c>
      <c r="H39" s="76">
        <f>VLOOKUP($E39,'Item Classification'!B:E,4,0)</f>
        <v>11</v>
      </c>
      <c r="I39" s="81" t="s">
        <v>162</v>
      </c>
      <c r="J39" s="81" t="s">
        <v>162</v>
      </c>
      <c r="K39" s="81">
        <v>2021</v>
      </c>
      <c r="L39" s="81">
        <v>2025</v>
      </c>
      <c r="M39" s="183">
        <v>105000000</v>
      </c>
      <c r="N39" s="10" t="s">
        <v>165</v>
      </c>
      <c r="O39" s="10" t="s">
        <v>162</v>
      </c>
      <c r="P39" s="10" t="s">
        <v>163</v>
      </c>
      <c r="Q39" s="77">
        <v>16</v>
      </c>
      <c r="R39" s="77">
        <v>0</v>
      </c>
      <c r="S39" s="77">
        <v>0</v>
      </c>
      <c r="T39" s="77">
        <v>0</v>
      </c>
      <c r="U39" s="77">
        <v>1</v>
      </c>
      <c r="V39" s="77">
        <v>1</v>
      </c>
      <c r="W39" s="77">
        <v>0</v>
      </c>
      <c r="X39" s="77">
        <v>1</v>
      </c>
      <c r="Y39" s="21" t="s">
        <v>354</v>
      </c>
      <c r="Z39" s="21" t="s">
        <v>163</v>
      </c>
      <c r="AA39" s="21" t="s">
        <v>163</v>
      </c>
      <c r="AB39" s="21" t="s">
        <v>231</v>
      </c>
      <c r="AC39" s="21"/>
      <c r="AD39" s="21"/>
      <c r="AE39" s="21" t="s">
        <v>162</v>
      </c>
      <c r="AF39" s="10" t="s">
        <v>232</v>
      </c>
      <c r="AG39" s="10"/>
      <c r="AH39" s="10"/>
      <c r="AI39" s="21" t="s">
        <v>162</v>
      </c>
      <c r="AJ39" s="21" t="s">
        <v>162</v>
      </c>
      <c r="AK39" s="21" t="s">
        <v>162</v>
      </c>
      <c r="AL39" s="21" t="s">
        <v>162</v>
      </c>
      <c r="AM39" s="21" t="s">
        <v>162</v>
      </c>
      <c r="AN39" s="21" t="s">
        <v>162</v>
      </c>
      <c r="AO39" s="21" t="s">
        <v>232</v>
      </c>
      <c r="AP39" s="21"/>
      <c r="AQ39" s="10" t="s">
        <v>335</v>
      </c>
      <c r="AR39" s="10" t="s">
        <v>355</v>
      </c>
      <c r="AS39" s="10" t="s">
        <v>162</v>
      </c>
      <c r="AT39" s="10" t="s">
        <v>356</v>
      </c>
      <c r="AU39" s="10" t="s">
        <v>162</v>
      </c>
      <c r="AV39" s="10" t="s">
        <v>162</v>
      </c>
      <c r="AW39" s="10"/>
    </row>
    <row r="40" spans="1:49">
      <c r="A40" s="10" t="s">
        <v>357</v>
      </c>
      <c r="B40" s="21" t="s">
        <v>162</v>
      </c>
      <c r="C40" s="10" t="s">
        <v>163</v>
      </c>
      <c r="D40" s="74">
        <v>44300</v>
      </c>
      <c r="E40" s="10" t="s">
        <v>358</v>
      </c>
      <c r="F40" s="75" t="str">
        <f>VLOOKUP($E40,'Item Classification'!B:C,2,0)</f>
        <v>Communication equipment</v>
      </c>
      <c r="G40" s="10" t="str">
        <f>VLOOKUP($E40,'Item Classification'!B:D,3,0)</f>
        <v>Modernisation</v>
      </c>
      <c r="H40" s="76">
        <f>VLOOKUP($E40,'Item Classification'!B:E,4,0)</f>
        <v>13</v>
      </c>
      <c r="I40" s="81" t="s">
        <v>162</v>
      </c>
      <c r="J40" s="81" t="s">
        <v>162</v>
      </c>
      <c r="K40" s="81" t="s">
        <v>162</v>
      </c>
      <c r="L40" s="81" t="s">
        <v>162</v>
      </c>
      <c r="M40" s="183">
        <v>59000000</v>
      </c>
      <c r="N40" s="10" t="s">
        <v>165</v>
      </c>
      <c r="O40" s="10" t="s">
        <v>162</v>
      </c>
      <c r="P40" s="10" t="s">
        <v>163</v>
      </c>
      <c r="Q40" s="77">
        <v>16</v>
      </c>
      <c r="R40" s="77" t="s">
        <v>162</v>
      </c>
      <c r="S40" s="77">
        <v>0</v>
      </c>
      <c r="T40" s="77">
        <v>0</v>
      </c>
      <c r="U40" s="77" t="s">
        <v>162</v>
      </c>
      <c r="V40" s="77" t="s">
        <v>162</v>
      </c>
      <c r="W40" s="77" t="s">
        <v>162</v>
      </c>
      <c r="X40" s="77" t="s">
        <v>162</v>
      </c>
      <c r="Y40" s="21" t="s">
        <v>162</v>
      </c>
      <c r="Z40" s="21" t="s">
        <v>162</v>
      </c>
      <c r="AA40" s="21" t="s">
        <v>162</v>
      </c>
      <c r="AB40" s="21" t="s">
        <v>162</v>
      </c>
      <c r="AC40" s="21" t="s">
        <v>162</v>
      </c>
      <c r="AD40" s="21" t="s">
        <v>162</v>
      </c>
      <c r="AE40" s="21" t="s">
        <v>162</v>
      </c>
      <c r="AF40" s="21" t="s">
        <v>162</v>
      </c>
      <c r="AG40" s="21" t="s">
        <v>162</v>
      </c>
      <c r="AH40" s="21" t="s">
        <v>162</v>
      </c>
      <c r="AI40" s="21" t="s">
        <v>162</v>
      </c>
      <c r="AJ40" s="21" t="s">
        <v>162</v>
      </c>
      <c r="AK40" s="21" t="s">
        <v>162</v>
      </c>
      <c r="AL40" s="21" t="s">
        <v>162</v>
      </c>
      <c r="AM40" s="21" t="s">
        <v>162</v>
      </c>
      <c r="AN40" s="21" t="s">
        <v>162</v>
      </c>
      <c r="AO40" s="21" t="s">
        <v>162</v>
      </c>
      <c r="AP40" s="21" t="s">
        <v>162</v>
      </c>
      <c r="AQ40" s="10" t="s">
        <v>335</v>
      </c>
      <c r="AR40" s="10" t="s">
        <v>162</v>
      </c>
      <c r="AS40" s="10" t="s">
        <v>162</v>
      </c>
      <c r="AT40" s="10" t="s">
        <v>359</v>
      </c>
      <c r="AU40" s="10" t="s">
        <v>162</v>
      </c>
      <c r="AV40" s="10" t="s">
        <v>162</v>
      </c>
      <c r="AW40" s="10"/>
    </row>
    <row r="41" spans="1:49">
      <c r="A41" s="10" t="s">
        <v>360</v>
      </c>
      <c r="B41" s="10" t="s">
        <v>361</v>
      </c>
      <c r="C41" s="10" t="s">
        <v>163</v>
      </c>
      <c r="D41" s="74">
        <v>44301</v>
      </c>
      <c r="E41" s="10" t="s">
        <v>362</v>
      </c>
      <c r="F41" s="75" t="str">
        <f>VLOOKUP($E41,'Item Classification'!B:C,2,0)</f>
        <v>Medium Altitude Long Endurance Remotely Piloted Aircraft System development</v>
      </c>
      <c r="G41" s="10" t="str">
        <f>VLOOKUP($E41,'Item Classification'!B:D,3,0)</f>
        <v>Development - Drone</v>
      </c>
      <c r="H41" s="76">
        <f>VLOOKUP($E41,'Item Classification'!B:E,4,0)</f>
        <v>15</v>
      </c>
      <c r="I41" s="81" t="s">
        <v>162</v>
      </c>
      <c r="J41" s="81" t="s">
        <v>162</v>
      </c>
      <c r="K41" s="81" t="s">
        <v>162</v>
      </c>
      <c r="L41" s="81" t="s">
        <v>162</v>
      </c>
      <c r="M41" s="183">
        <v>3100000000</v>
      </c>
      <c r="N41" s="10" t="s">
        <v>165</v>
      </c>
      <c r="O41" s="10" t="s">
        <v>162</v>
      </c>
      <c r="P41" s="10" t="s">
        <v>163</v>
      </c>
      <c r="Q41" s="77">
        <v>16</v>
      </c>
      <c r="R41" s="77">
        <v>0</v>
      </c>
      <c r="S41" s="77">
        <v>0</v>
      </c>
      <c r="T41" s="77">
        <v>0</v>
      </c>
      <c r="U41" s="77">
        <v>1</v>
      </c>
      <c r="V41" s="77">
        <v>1</v>
      </c>
      <c r="W41" s="77">
        <v>0</v>
      </c>
      <c r="X41" s="77">
        <v>1</v>
      </c>
      <c r="Y41" s="21" t="s">
        <v>168</v>
      </c>
      <c r="Z41" s="10" t="s">
        <v>163</v>
      </c>
      <c r="AA41" s="21" t="s">
        <v>162</v>
      </c>
      <c r="AB41" s="10" t="s">
        <v>363</v>
      </c>
      <c r="AC41" s="21" t="s">
        <v>364</v>
      </c>
      <c r="AD41" s="21" t="s">
        <v>188</v>
      </c>
      <c r="AE41" s="21" t="s">
        <v>162</v>
      </c>
      <c r="AF41" s="10" t="s">
        <v>181</v>
      </c>
      <c r="AG41" s="10" t="s">
        <v>219</v>
      </c>
      <c r="AH41" s="10" t="s">
        <v>190</v>
      </c>
      <c r="AI41" s="21" t="s">
        <v>162</v>
      </c>
      <c r="AJ41" s="21" t="s">
        <v>162</v>
      </c>
      <c r="AK41" s="21" t="s">
        <v>162</v>
      </c>
      <c r="AL41" s="21" t="s">
        <v>162</v>
      </c>
      <c r="AM41" s="21" t="s">
        <v>162</v>
      </c>
      <c r="AN41" s="21" t="s">
        <v>162</v>
      </c>
      <c r="AO41" s="10" t="s">
        <v>162</v>
      </c>
      <c r="AP41" s="21" t="s">
        <v>162</v>
      </c>
      <c r="AQ41" s="10" t="s">
        <v>365</v>
      </c>
      <c r="AR41" s="10" t="s">
        <v>366</v>
      </c>
      <c r="AS41" s="10" t="s">
        <v>367</v>
      </c>
      <c r="AT41" s="10" t="s">
        <v>368</v>
      </c>
      <c r="AU41" s="10" t="s">
        <v>369</v>
      </c>
      <c r="AV41" s="10" t="s">
        <v>370</v>
      </c>
      <c r="AW41" s="10" t="s">
        <v>162</v>
      </c>
    </row>
    <row r="42" spans="1:49">
      <c r="A42" s="10" t="s">
        <v>371</v>
      </c>
      <c r="B42" s="10" t="s">
        <v>162</v>
      </c>
      <c r="C42" s="10" t="s">
        <v>163</v>
      </c>
      <c r="D42" s="74">
        <v>44307</v>
      </c>
      <c r="E42" s="78" t="s">
        <v>372</v>
      </c>
      <c r="F42" s="75" t="str">
        <f>VLOOKUP($E42,'Item Classification'!B:C,2,0)</f>
        <v>Military equipment</v>
      </c>
      <c r="G42" s="10" t="str">
        <f>VLOOKUP($E42,'Item Classification'!B:D,3,0)</f>
        <v>Other</v>
      </c>
      <c r="H42" s="76">
        <f>VLOOKUP($E42,'Item Classification'!B:E,4,0)</f>
        <v>16</v>
      </c>
      <c r="I42" s="81">
        <v>5000</v>
      </c>
      <c r="J42" s="81" t="s">
        <v>162</v>
      </c>
      <c r="K42" s="81">
        <v>2022</v>
      </c>
      <c r="L42" s="81">
        <v>2024</v>
      </c>
      <c r="M42" s="81" t="s">
        <v>162</v>
      </c>
      <c r="N42" s="10" t="s">
        <v>165</v>
      </c>
      <c r="O42" s="10" t="s">
        <v>162</v>
      </c>
      <c r="P42" s="10" t="s">
        <v>163</v>
      </c>
      <c r="Q42" s="77">
        <v>16</v>
      </c>
      <c r="R42" s="77">
        <v>1</v>
      </c>
      <c r="S42" s="77">
        <v>0</v>
      </c>
      <c r="T42" s="77">
        <v>0</v>
      </c>
      <c r="U42" s="77">
        <v>1</v>
      </c>
      <c r="V42" s="77">
        <v>1</v>
      </c>
      <c r="W42" s="77">
        <v>0</v>
      </c>
      <c r="X42" s="77">
        <v>1</v>
      </c>
      <c r="Y42" s="10" t="s">
        <v>373</v>
      </c>
      <c r="Z42" s="21" t="s">
        <v>163</v>
      </c>
      <c r="AA42" s="21" t="s">
        <v>162</v>
      </c>
      <c r="AB42" s="10" t="s">
        <v>374</v>
      </c>
      <c r="AC42" s="21" t="s">
        <v>162</v>
      </c>
      <c r="AD42" s="21" t="s">
        <v>162</v>
      </c>
      <c r="AE42" s="21" t="s">
        <v>162</v>
      </c>
      <c r="AF42" s="21" t="s">
        <v>375</v>
      </c>
      <c r="AG42" s="21" t="s">
        <v>162</v>
      </c>
      <c r="AH42" s="21" t="s">
        <v>162</v>
      </c>
      <c r="AI42" s="21" t="s">
        <v>162</v>
      </c>
      <c r="AJ42" s="21" t="s">
        <v>162</v>
      </c>
      <c r="AK42" s="21" t="s">
        <v>162</v>
      </c>
      <c r="AL42" s="21" t="s">
        <v>162</v>
      </c>
      <c r="AM42" s="21" t="s">
        <v>162</v>
      </c>
      <c r="AN42" s="21" t="s">
        <v>162</v>
      </c>
      <c r="AO42" s="21" t="s">
        <v>162</v>
      </c>
      <c r="AP42" s="21" t="s">
        <v>162</v>
      </c>
      <c r="AQ42" s="10" t="s">
        <v>376</v>
      </c>
      <c r="AR42" s="10" t="s">
        <v>377</v>
      </c>
      <c r="AS42" s="10" t="s">
        <v>378</v>
      </c>
      <c r="AT42" s="10" t="s">
        <v>379</v>
      </c>
      <c r="AU42" s="10" t="s">
        <v>162</v>
      </c>
      <c r="AV42" s="10" t="s">
        <v>162</v>
      </c>
      <c r="AW42" s="10"/>
    </row>
    <row r="43" spans="1:49">
      <c r="A43" s="10" t="s">
        <v>380</v>
      </c>
      <c r="B43" s="10" t="s">
        <v>162</v>
      </c>
      <c r="C43" s="10" t="s">
        <v>163</v>
      </c>
      <c r="D43" s="74">
        <v>44307</v>
      </c>
      <c r="E43" s="10" t="s">
        <v>381</v>
      </c>
      <c r="F43" s="75" t="str">
        <f>VLOOKUP($E43,'Item Classification'!B:C,2,0)</f>
        <v>Medium transport helicopter equipment</v>
      </c>
      <c r="G43" s="10" t="str">
        <f>VLOOKUP($E43,'Item Classification'!B:D,3,0)</f>
        <v>Helicopter</v>
      </c>
      <c r="H43" s="76">
        <f>VLOOKUP($E43,'Item Classification'!B:E,4,0)</f>
        <v>10</v>
      </c>
      <c r="I43" s="81">
        <v>14</v>
      </c>
      <c r="J43" s="81" t="s">
        <v>162</v>
      </c>
      <c r="K43" s="81" t="s">
        <v>162</v>
      </c>
      <c r="L43" s="81" t="s">
        <v>162</v>
      </c>
      <c r="M43" s="81" t="s">
        <v>162</v>
      </c>
      <c r="N43" s="10" t="s">
        <v>165</v>
      </c>
      <c r="O43" s="10" t="s">
        <v>162</v>
      </c>
      <c r="P43" s="10" t="s">
        <v>163</v>
      </c>
      <c r="Q43" s="77">
        <v>16</v>
      </c>
      <c r="R43" s="77">
        <v>1</v>
      </c>
      <c r="S43" s="77">
        <v>0</v>
      </c>
      <c r="T43" s="77">
        <v>0</v>
      </c>
      <c r="U43" s="77">
        <v>1</v>
      </c>
      <c r="V43" s="77">
        <v>0</v>
      </c>
      <c r="W43" s="77">
        <v>0</v>
      </c>
      <c r="X43" s="77">
        <v>0</v>
      </c>
      <c r="Y43" s="21" t="s">
        <v>382</v>
      </c>
      <c r="Z43" s="21" t="s">
        <v>163</v>
      </c>
      <c r="AA43" s="21" t="s">
        <v>163</v>
      </c>
      <c r="AB43" s="21" t="s">
        <v>162</v>
      </c>
      <c r="AC43" s="21" t="s">
        <v>162</v>
      </c>
      <c r="AD43" s="21" t="s">
        <v>162</v>
      </c>
      <c r="AE43" s="21" t="s">
        <v>162</v>
      </c>
      <c r="AF43" s="21" t="s">
        <v>162</v>
      </c>
      <c r="AG43" s="21" t="s">
        <v>162</v>
      </c>
      <c r="AH43" s="21" t="s">
        <v>162</v>
      </c>
      <c r="AI43" s="21" t="s">
        <v>162</v>
      </c>
      <c r="AJ43" s="21" t="s">
        <v>162</v>
      </c>
      <c r="AK43" s="21" t="s">
        <v>162</v>
      </c>
      <c r="AL43" s="21" t="s">
        <v>162</v>
      </c>
      <c r="AM43" s="21" t="s">
        <v>162</v>
      </c>
      <c r="AN43" s="21" t="s">
        <v>162</v>
      </c>
      <c r="AO43" s="21" t="s">
        <v>162</v>
      </c>
      <c r="AP43" s="21" t="s">
        <v>162</v>
      </c>
      <c r="AQ43" s="10" t="s">
        <v>376</v>
      </c>
      <c r="AR43" s="10" t="s">
        <v>383</v>
      </c>
      <c r="AS43" s="10" t="s">
        <v>384</v>
      </c>
      <c r="AT43" s="10" t="s">
        <v>385</v>
      </c>
      <c r="AU43" s="10" t="s">
        <v>162</v>
      </c>
      <c r="AV43" s="10" t="s">
        <v>162</v>
      </c>
      <c r="AW43" s="10"/>
    </row>
    <row r="44" spans="1:49">
      <c r="A44" s="10" t="s">
        <v>386</v>
      </c>
      <c r="B44" s="10" t="s">
        <v>162</v>
      </c>
      <c r="C44" s="10" t="s">
        <v>163</v>
      </c>
      <c r="D44" s="74">
        <v>44330</v>
      </c>
      <c r="E44" s="10" t="s">
        <v>387</v>
      </c>
      <c r="F44" s="75" t="str">
        <f>VLOOKUP($E44,'Item Classification'!B:C,2,0)</f>
        <v>Military vehicle maintentance support</v>
      </c>
      <c r="G44" s="10" t="str">
        <f>VLOOKUP($E44,'Item Classification'!B:D,3,0)</f>
        <v>Maintenance</v>
      </c>
      <c r="H44" s="76">
        <f>VLOOKUP($E44,'Item Classification'!B:E,4,0)</f>
        <v>14</v>
      </c>
      <c r="I44" s="81" t="s">
        <v>162</v>
      </c>
      <c r="J44" s="81" t="s">
        <v>162</v>
      </c>
      <c r="K44" s="81">
        <v>2021</v>
      </c>
      <c r="L44" s="81">
        <v>2031</v>
      </c>
      <c r="M44" s="183">
        <v>42000000</v>
      </c>
      <c r="N44" s="10" t="s">
        <v>165</v>
      </c>
      <c r="O44" s="10" t="s">
        <v>162</v>
      </c>
      <c r="P44" s="10" t="s">
        <v>163</v>
      </c>
      <c r="Q44" s="77">
        <v>17</v>
      </c>
      <c r="R44" s="77">
        <v>0</v>
      </c>
      <c r="S44" s="77">
        <v>0</v>
      </c>
      <c r="T44" s="77">
        <v>0</v>
      </c>
      <c r="U44" s="77">
        <v>1</v>
      </c>
      <c r="V44" s="77">
        <v>0</v>
      </c>
      <c r="W44" s="77">
        <v>0</v>
      </c>
      <c r="X44" s="77">
        <v>0</v>
      </c>
      <c r="Y44" s="21" t="s">
        <v>162</v>
      </c>
      <c r="Z44" s="21" t="s">
        <v>163</v>
      </c>
      <c r="AA44" s="21" t="s">
        <v>162</v>
      </c>
      <c r="AB44" s="10" t="s">
        <v>162</v>
      </c>
      <c r="AC44" s="21" t="s">
        <v>162</v>
      </c>
      <c r="AD44" s="21" t="s">
        <v>162</v>
      </c>
      <c r="AE44" s="21" t="s">
        <v>162</v>
      </c>
      <c r="AF44" s="10" t="s">
        <v>162</v>
      </c>
      <c r="AG44" s="10" t="s">
        <v>162</v>
      </c>
      <c r="AH44" s="21" t="s">
        <v>162</v>
      </c>
      <c r="AI44" s="21" t="s">
        <v>162</v>
      </c>
      <c r="AJ44" s="21" t="s">
        <v>162</v>
      </c>
      <c r="AK44" s="21" t="s">
        <v>162</v>
      </c>
      <c r="AL44" s="21" t="s">
        <v>162</v>
      </c>
      <c r="AM44" s="21" t="s">
        <v>162</v>
      </c>
      <c r="AN44" s="21" t="s">
        <v>162</v>
      </c>
      <c r="AO44" s="10" t="s">
        <v>162</v>
      </c>
      <c r="AP44" s="21" t="s">
        <v>162</v>
      </c>
      <c r="AQ44" s="10" t="s">
        <v>388</v>
      </c>
      <c r="AR44" s="10" t="s">
        <v>389</v>
      </c>
      <c r="AS44" s="10" t="s">
        <v>162</v>
      </c>
      <c r="AT44" s="10" t="s">
        <v>390</v>
      </c>
      <c r="AU44" s="10" t="s">
        <v>162</v>
      </c>
      <c r="AV44" s="10" t="s">
        <v>162</v>
      </c>
      <c r="AW44" s="10"/>
    </row>
    <row r="45" spans="1:49">
      <c r="A45" s="10" t="s">
        <v>391</v>
      </c>
      <c r="B45" s="10" t="s">
        <v>162</v>
      </c>
      <c r="C45" s="10" t="s">
        <v>163</v>
      </c>
      <c r="D45" s="74">
        <v>44335</v>
      </c>
      <c r="E45" s="10" t="s">
        <v>392</v>
      </c>
      <c r="F45" s="75" t="str">
        <f>VLOOKUP($E45,'Item Classification'!B:C,2,0)</f>
        <v>Non-combat military vehicle part</v>
      </c>
      <c r="G45" s="10" t="str">
        <f>VLOOKUP($E45,'Item Classification'!B:D,3,0)</f>
        <v>Other</v>
      </c>
      <c r="H45" s="76">
        <f>VLOOKUP($E45,'Item Classification'!B:E,4,0)</f>
        <v>16</v>
      </c>
      <c r="I45" s="81">
        <v>200</v>
      </c>
      <c r="J45" s="182">
        <f>M45/I45</f>
        <v>145000</v>
      </c>
      <c r="K45" s="81">
        <v>2023</v>
      </c>
      <c r="L45" s="81" t="s">
        <v>162</v>
      </c>
      <c r="M45" s="183">
        <v>29000000</v>
      </c>
      <c r="N45" s="10" t="s">
        <v>165</v>
      </c>
      <c r="O45" s="10" t="s">
        <v>162</v>
      </c>
      <c r="P45" s="10" t="s">
        <v>163</v>
      </c>
      <c r="Q45" s="77">
        <v>17</v>
      </c>
      <c r="R45" s="77">
        <v>1</v>
      </c>
      <c r="S45" s="77">
        <v>0</v>
      </c>
      <c r="T45" s="77">
        <v>0</v>
      </c>
      <c r="U45" s="77">
        <v>1</v>
      </c>
      <c r="V45" s="77">
        <v>0</v>
      </c>
      <c r="W45" s="77">
        <v>0</v>
      </c>
      <c r="X45" s="77">
        <v>0</v>
      </c>
      <c r="Y45" s="21" t="s">
        <v>393</v>
      </c>
      <c r="Z45" s="21" t="s">
        <v>163</v>
      </c>
      <c r="AA45" s="21" t="s">
        <v>162</v>
      </c>
      <c r="AB45" s="21" t="s">
        <v>162</v>
      </c>
      <c r="AC45" s="21" t="s">
        <v>162</v>
      </c>
      <c r="AD45" s="21" t="s">
        <v>162</v>
      </c>
      <c r="AE45" s="21" t="s">
        <v>162</v>
      </c>
      <c r="AF45" s="21" t="s">
        <v>162</v>
      </c>
      <c r="AG45" s="21" t="s">
        <v>162</v>
      </c>
      <c r="AH45" s="21" t="s">
        <v>162</v>
      </c>
      <c r="AI45" s="21" t="s">
        <v>162</v>
      </c>
      <c r="AJ45" s="21" t="s">
        <v>162</v>
      </c>
      <c r="AK45" s="21" t="s">
        <v>162</v>
      </c>
      <c r="AL45" s="21" t="s">
        <v>162</v>
      </c>
      <c r="AM45" s="21" t="s">
        <v>162</v>
      </c>
      <c r="AN45" s="21" t="s">
        <v>162</v>
      </c>
      <c r="AO45" s="21" t="s">
        <v>162</v>
      </c>
      <c r="AP45" s="21" t="s">
        <v>162</v>
      </c>
      <c r="AQ45" s="10" t="s">
        <v>394</v>
      </c>
      <c r="AR45" s="10" t="s">
        <v>395</v>
      </c>
      <c r="AS45" s="10" t="s">
        <v>162</v>
      </c>
      <c r="AT45" s="10" t="s">
        <v>396</v>
      </c>
      <c r="AU45" s="10" t="s">
        <v>162</v>
      </c>
      <c r="AV45" s="10" t="s">
        <v>162</v>
      </c>
      <c r="AW45" s="10"/>
    </row>
    <row r="46" spans="1:49">
      <c r="A46" s="10" t="s">
        <v>397</v>
      </c>
      <c r="B46" s="10" t="s">
        <v>162</v>
      </c>
      <c r="C46" s="10" t="s">
        <v>163</v>
      </c>
      <c r="D46" s="74">
        <v>44335</v>
      </c>
      <c r="E46" s="21" t="s">
        <v>398</v>
      </c>
      <c r="F46" s="75" t="str">
        <f>VLOOKUP($E46,'Item Classification'!B:C,2,0)</f>
        <v>Communication and digitalisation</v>
      </c>
      <c r="G46" s="10" t="str">
        <f>VLOOKUP($E46,'Item Classification'!B:D,3,0)</f>
        <v>Modernisation</v>
      </c>
      <c r="H46" s="76">
        <f>VLOOKUP($E46,'Item Classification'!B:E,4,0)</f>
        <v>13</v>
      </c>
      <c r="I46" s="81">
        <v>69</v>
      </c>
      <c r="J46" s="182">
        <f>M46/I46</f>
        <v>521739.13043478259</v>
      </c>
      <c r="K46" s="81">
        <v>2022</v>
      </c>
      <c r="L46" s="81">
        <v>2024</v>
      </c>
      <c r="M46" s="183">
        <v>36000000</v>
      </c>
      <c r="N46" s="10" t="s">
        <v>165</v>
      </c>
      <c r="O46" s="10" t="s">
        <v>162</v>
      </c>
      <c r="P46" s="10" t="s">
        <v>163</v>
      </c>
      <c r="Q46" s="77">
        <v>17</v>
      </c>
      <c r="R46" s="77">
        <v>0</v>
      </c>
      <c r="S46" s="77">
        <v>0</v>
      </c>
      <c r="T46" s="77">
        <v>0</v>
      </c>
      <c r="U46" s="77">
        <v>1</v>
      </c>
      <c r="V46" s="77">
        <v>0</v>
      </c>
      <c r="W46" s="77">
        <v>0</v>
      </c>
      <c r="X46" s="77">
        <v>0</v>
      </c>
      <c r="Y46" s="21" t="s">
        <v>341</v>
      </c>
      <c r="Z46" s="21" t="s">
        <v>163</v>
      </c>
      <c r="AA46" s="21" t="s">
        <v>162</v>
      </c>
      <c r="AB46" s="21" t="s">
        <v>162</v>
      </c>
      <c r="AC46" s="21" t="s">
        <v>162</v>
      </c>
      <c r="AD46" s="21" t="s">
        <v>162</v>
      </c>
      <c r="AE46" s="21" t="s">
        <v>162</v>
      </c>
      <c r="AF46" s="21" t="s">
        <v>162</v>
      </c>
      <c r="AG46" s="21" t="s">
        <v>162</v>
      </c>
      <c r="AH46" s="21" t="s">
        <v>162</v>
      </c>
      <c r="AI46" s="21" t="s">
        <v>162</v>
      </c>
      <c r="AJ46" s="21" t="s">
        <v>162</v>
      </c>
      <c r="AK46" s="21" t="s">
        <v>162</v>
      </c>
      <c r="AL46" s="21" t="s">
        <v>162</v>
      </c>
      <c r="AM46" s="21" t="s">
        <v>162</v>
      </c>
      <c r="AN46" s="21" t="s">
        <v>162</v>
      </c>
      <c r="AO46" s="21" t="s">
        <v>162</v>
      </c>
      <c r="AP46" s="21" t="s">
        <v>162</v>
      </c>
      <c r="AQ46" s="10" t="s">
        <v>394</v>
      </c>
      <c r="AR46" s="10" t="s">
        <v>399</v>
      </c>
      <c r="AS46" s="10" t="s">
        <v>162</v>
      </c>
      <c r="AT46" s="10" t="s">
        <v>400</v>
      </c>
      <c r="AU46" s="10" t="s">
        <v>401</v>
      </c>
      <c r="AV46" s="10" t="s">
        <v>162</v>
      </c>
      <c r="AW46" s="10"/>
    </row>
    <row r="47" spans="1:49">
      <c r="A47" s="10" t="s">
        <v>402</v>
      </c>
      <c r="B47" s="10" t="s">
        <v>403</v>
      </c>
      <c r="C47" s="10" t="s">
        <v>163</v>
      </c>
      <c r="D47" s="74">
        <v>44335</v>
      </c>
      <c r="E47" s="10" t="s">
        <v>404</v>
      </c>
      <c r="F47" s="75" t="str">
        <f>VLOOKUP($E47,'Item Classification'!B:C,2,0)</f>
        <v>Clothing and personal equipment</v>
      </c>
      <c r="G47" s="10" t="str">
        <f>VLOOKUP($E47,'Item Classification'!B:D,3,0)</f>
        <v>Modernisation</v>
      </c>
      <c r="H47" s="76">
        <f>VLOOKUP($E47,'Item Classification'!B:E,4,0)</f>
        <v>13</v>
      </c>
      <c r="I47" s="81">
        <v>2</v>
      </c>
      <c r="J47" s="182">
        <f>M47/I47</f>
        <v>47500000</v>
      </c>
      <c r="K47" s="81">
        <v>2021</v>
      </c>
      <c r="L47" s="81">
        <v>2023</v>
      </c>
      <c r="M47" s="183">
        <v>95000000</v>
      </c>
      <c r="N47" s="10" t="s">
        <v>165</v>
      </c>
      <c r="O47" s="10" t="s">
        <v>162</v>
      </c>
      <c r="P47" s="10" t="s">
        <v>163</v>
      </c>
      <c r="Q47" s="77">
        <v>17</v>
      </c>
      <c r="R47" s="77">
        <v>0</v>
      </c>
      <c r="S47" s="77">
        <v>1</v>
      </c>
      <c r="T47" s="77">
        <v>0</v>
      </c>
      <c r="U47" s="77">
        <v>1</v>
      </c>
      <c r="V47" s="77">
        <v>0</v>
      </c>
      <c r="W47" s="77">
        <v>0</v>
      </c>
      <c r="X47" s="77">
        <v>0</v>
      </c>
      <c r="Y47" s="10" t="s">
        <v>240</v>
      </c>
      <c r="Z47" s="21" t="s">
        <v>163</v>
      </c>
      <c r="AA47" s="21" t="s">
        <v>162</v>
      </c>
      <c r="AB47" s="21" t="s">
        <v>162</v>
      </c>
      <c r="AC47" s="21" t="s">
        <v>162</v>
      </c>
      <c r="AD47" s="21" t="s">
        <v>162</v>
      </c>
      <c r="AE47" s="21" t="s">
        <v>162</v>
      </c>
      <c r="AF47" s="21" t="s">
        <v>162</v>
      </c>
      <c r="AG47" s="21" t="s">
        <v>162</v>
      </c>
      <c r="AH47" s="21" t="s">
        <v>162</v>
      </c>
      <c r="AI47" s="21" t="s">
        <v>162</v>
      </c>
      <c r="AJ47" s="21" t="s">
        <v>162</v>
      </c>
      <c r="AK47" s="21" t="s">
        <v>162</v>
      </c>
      <c r="AL47" s="21" t="s">
        <v>162</v>
      </c>
      <c r="AM47" s="21" t="s">
        <v>162</v>
      </c>
      <c r="AN47" s="21" t="s">
        <v>162</v>
      </c>
      <c r="AO47" s="21" t="s">
        <v>162</v>
      </c>
      <c r="AP47" s="21" t="s">
        <v>162</v>
      </c>
      <c r="AQ47" s="10" t="s">
        <v>394</v>
      </c>
      <c r="AR47" s="10" t="s">
        <v>405</v>
      </c>
      <c r="AS47" s="10" t="s">
        <v>406</v>
      </c>
      <c r="AT47" s="10" t="s">
        <v>407</v>
      </c>
      <c r="AU47" s="10" t="s">
        <v>162</v>
      </c>
      <c r="AV47" s="10" t="s">
        <v>162</v>
      </c>
      <c r="AW47" s="10"/>
    </row>
    <row r="48" spans="1:49">
      <c r="A48" s="10" t="s">
        <v>408</v>
      </c>
      <c r="B48" s="10" t="s">
        <v>194</v>
      </c>
      <c r="C48" s="10" t="s">
        <v>163</v>
      </c>
      <c r="D48" s="74">
        <v>44335</v>
      </c>
      <c r="E48" s="21" t="s">
        <v>409</v>
      </c>
      <c r="F48" s="75" t="str">
        <f>VLOOKUP($E48,'Item Classification'!B:C,2,0)</f>
        <v>Communication and digitalisation</v>
      </c>
      <c r="G48" s="10" t="str">
        <f>VLOOKUP($E48,'Item Classification'!B:D,3,0)</f>
        <v>Modernisation</v>
      </c>
      <c r="H48" s="76">
        <f>VLOOKUP($E48,'Item Classification'!B:E,4,0)</f>
        <v>13</v>
      </c>
      <c r="I48" s="81" t="s">
        <v>162</v>
      </c>
      <c r="J48" s="81" t="s">
        <v>162</v>
      </c>
      <c r="K48" s="81">
        <v>2021</v>
      </c>
      <c r="L48" s="81">
        <v>2027</v>
      </c>
      <c r="M48" s="183">
        <v>2200000000</v>
      </c>
      <c r="N48" s="10" t="s">
        <v>165</v>
      </c>
      <c r="O48" s="10" t="s">
        <v>162</v>
      </c>
      <c r="P48" s="10" t="s">
        <v>163</v>
      </c>
      <c r="Q48" s="77">
        <v>17</v>
      </c>
      <c r="R48" s="77">
        <v>0</v>
      </c>
      <c r="S48" s="77">
        <v>0</v>
      </c>
      <c r="T48" s="77">
        <v>0</v>
      </c>
      <c r="U48" s="77">
        <v>1</v>
      </c>
      <c r="V48" s="77">
        <v>0</v>
      </c>
      <c r="W48" s="77">
        <v>0</v>
      </c>
      <c r="X48" s="77">
        <v>0</v>
      </c>
      <c r="Y48" s="21" t="s">
        <v>194</v>
      </c>
      <c r="Z48" s="21" t="s">
        <v>163</v>
      </c>
      <c r="AA48" s="21" t="s">
        <v>162</v>
      </c>
      <c r="AB48" s="21" t="s">
        <v>162</v>
      </c>
      <c r="AC48" s="21" t="s">
        <v>162</v>
      </c>
      <c r="AD48" s="21" t="s">
        <v>162</v>
      </c>
      <c r="AE48" s="21" t="s">
        <v>162</v>
      </c>
      <c r="AF48" s="21" t="s">
        <v>162</v>
      </c>
      <c r="AG48" s="21" t="s">
        <v>162</v>
      </c>
      <c r="AH48" s="21" t="s">
        <v>162</v>
      </c>
      <c r="AI48" s="21" t="s">
        <v>162</v>
      </c>
      <c r="AJ48" s="21" t="s">
        <v>162</v>
      </c>
      <c r="AK48" s="21" t="s">
        <v>162</v>
      </c>
      <c r="AL48" s="21" t="s">
        <v>162</v>
      </c>
      <c r="AM48" s="21" t="s">
        <v>162</v>
      </c>
      <c r="AN48" s="21" t="s">
        <v>162</v>
      </c>
      <c r="AO48" s="21" t="s">
        <v>162</v>
      </c>
      <c r="AP48" s="21" t="s">
        <v>162</v>
      </c>
      <c r="AQ48" s="10" t="s">
        <v>394</v>
      </c>
      <c r="AR48" s="10" t="s">
        <v>410</v>
      </c>
      <c r="AS48" s="10" t="s">
        <v>411</v>
      </c>
      <c r="AT48" s="10" t="s">
        <v>412</v>
      </c>
      <c r="AU48" s="10" t="s">
        <v>413</v>
      </c>
      <c r="AV48" s="10" t="s">
        <v>162</v>
      </c>
      <c r="AW48" s="10"/>
    </row>
    <row r="49" spans="1:49">
      <c r="A49" s="10" t="s">
        <v>414</v>
      </c>
      <c r="B49" s="10" t="s">
        <v>415</v>
      </c>
      <c r="C49" s="10" t="s">
        <v>163</v>
      </c>
      <c r="D49" s="74">
        <v>44370</v>
      </c>
      <c r="E49" s="10" t="s">
        <v>416</v>
      </c>
      <c r="F49" s="75" t="str">
        <f>VLOOKUP($E49,'Item Classification'!B:C,2,0)</f>
        <v>Maritime reconnaissance patrol aircraft</v>
      </c>
      <c r="G49" s="10" t="str">
        <f>VLOOKUP($E49,'Item Classification'!B:D,3,0)</f>
        <v>Naval</v>
      </c>
      <c r="H49" s="76">
        <f>VLOOKUP($E49,'Item Classification'!B:E,4,0)</f>
        <v>12</v>
      </c>
      <c r="I49" s="81">
        <v>5</v>
      </c>
      <c r="J49" s="182">
        <f>M49/I49</f>
        <v>220000000</v>
      </c>
      <c r="K49" s="81">
        <v>2024</v>
      </c>
      <c r="L49" s="81">
        <v>2025</v>
      </c>
      <c r="M49" s="183">
        <v>1100000000</v>
      </c>
      <c r="N49" s="10" t="s">
        <v>165</v>
      </c>
      <c r="O49" s="10" t="s">
        <v>162</v>
      </c>
      <c r="P49" s="10" t="s">
        <v>163</v>
      </c>
      <c r="Q49" s="77">
        <v>18</v>
      </c>
      <c r="R49" s="77">
        <v>0</v>
      </c>
      <c r="S49" s="77">
        <v>0</v>
      </c>
      <c r="T49" s="77">
        <v>1</v>
      </c>
      <c r="U49" s="77">
        <v>0</v>
      </c>
      <c r="V49" s="77">
        <v>0</v>
      </c>
      <c r="W49" s="77">
        <v>0</v>
      </c>
      <c r="X49" s="77">
        <v>0</v>
      </c>
      <c r="Y49" s="10" t="s">
        <v>214</v>
      </c>
      <c r="Z49" s="10" t="s">
        <v>218</v>
      </c>
      <c r="AA49" s="10" t="s">
        <v>218</v>
      </c>
      <c r="AB49" s="10" t="s">
        <v>162</v>
      </c>
      <c r="AC49" s="21" t="s">
        <v>162</v>
      </c>
      <c r="AD49" s="21" t="s">
        <v>162</v>
      </c>
      <c r="AE49" s="21" t="s">
        <v>162</v>
      </c>
      <c r="AF49" s="10" t="s">
        <v>162</v>
      </c>
      <c r="AG49" s="10" t="s">
        <v>162</v>
      </c>
      <c r="AH49" s="21" t="s">
        <v>162</v>
      </c>
      <c r="AI49" s="21" t="s">
        <v>162</v>
      </c>
      <c r="AJ49" s="21" t="s">
        <v>162</v>
      </c>
      <c r="AK49" s="21" t="s">
        <v>162</v>
      </c>
      <c r="AL49" s="21" t="s">
        <v>162</v>
      </c>
      <c r="AM49" s="21" t="s">
        <v>162</v>
      </c>
      <c r="AN49" s="21" t="s">
        <v>162</v>
      </c>
      <c r="AO49" s="10" t="s">
        <v>162</v>
      </c>
      <c r="AP49" s="21" t="s">
        <v>162</v>
      </c>
      <c r="AQ49" s="10" t="s">
        <v>417</v>
      </c>
      <c r="AR49" s="10" t="s">
        <v>418</v>
      </c>
      <c r="AS49" s="10" t="s">
        <v>419</v>
      </c>
      <c r="AT49" s="10" t="s">
        <v>420</v>
      </c>
      <c r="AU49" s="10" t="s">
        <v>162</v>
      </c>
      <c r="AV49" s="10" t="s">
        <v>162</v>
      </c>
      <c r="AW49" s="10"/>
    </row>
    <row r="50" spans="1:49">
      <c r="A50" s="10" t="s">
        <v>421</v>
      </c>
      <c r="B50" s="10" t="s">
        <v>422</v>
      </c>
      <c r="C50" s="10" t="s">
        <v>163</v>
      </c>
      <c r="D50" s="74">
        <v>44370</v>
      </c>
      <c r="E50" s="10" t="s">
        <v>423</v>
      </c>
      <c r="F50" s="75" t="str">
        <f>VLOOKUP($E50,'Item Classification'!B:C,2,0)</f>
        <v>Combat aircraft system development</v>
      </c>
      <c r="G50" s="10" t="str">
        <f>VLOOKUP($E50,'Item Classification'!B:D,3,0)</f>
        <v>Development - Aircraft</v>
      </c>
      <c r="H50" s="76">
        <f>VLOOKUP($E50,'Item Classification'!B:E,4,0)</f>
        <v>15</v>
      </c>
      <c r="I50" s="81">
        <v>7</v>
      </c>
      <c r="J50" s="182">
        <f>M50/I50</f>
        <v>628571428.57142854</v>
      </c>
      <c r="K50" s="81">
        <v>2021</v>
      </c>
      <c r="L50" s="81">
        <v>2027</v>
      </c>
      <c r="M50" s="183">
        <v>4400000000</v>
      </c>
      <c r="N50" s="10" t="s">
        <v>165</v>
      </c>
      <c r="O50" s="10" t="s">
        <v>162</v>
      </c>
      <c r="P50" s="10" t="s">
        <v>163</v>
      </c>
      <c r="Q50" s="77">
        <v>18</v>
      </c>
      <c r="R50" s="77">
        <v>1</v>
      </c>
      <c r="S50" s="77">
        <v>1</v>
      </c>
      <c r="T50" s="77">
        <v>0</v>
      </c>
      <c r="U50" s="77">
        <v>1</v>
      </c>
      <c r="V50" s="77">
        <v>1</v>
      </c>
      <c r="W50" s="77">
        <v>0</v>
      </c>
      <c r="X50" s="77">
        <v>1</v>
      </c>
      <c r="Y50" s="10" t="s">
        <v>188</v>
      </c>
      <c r="Z50" s="10" t="s">
        <v>163</v>
      </c>
      <c r="AA50" s="21" t="s">
        <v>162</v>
      </c>
      <c r="AB50" s="10" t="s">
        <v>363</v>
      </c>
      <c r="AC50" s="21" t="s">
        <v>189</v>
      </c>
      <c r="AD50" s="21" t="s">
        <v>162</v>
      </c>
      <c r="AE50" s="21" t="s">
        <v>162</v>
      </c>
      <c r="AF50" s="10" t="s">
        <v>181</v>
      </c>
      <c r="AG50" s="10" t="s">
        <v>190</v>
      </c>
      <c r="AH50" s="21" t="s">
        <v>162</v>
      </c>
      <c r="AI50" s="21" t="s">
        <v>162</v>
      </c>
      <c r="AJ50" s="21" t="s">
        <v>162</v>
      </c>
      <c r="AK50" s="21" t="s">
        <v>162</v>
      </c>
      <c r="AL50" s="21" t="s">
        <v>162</v>
      </c>
      <c r="AM50" s="21" t="s">
        <v>162</v>
      </c>
      <c r="AN50" s="21" t="s">
        <v>162</v>
      </c>
      <c r="AO50" s="10" t="s">
        <v>162</v>
      </c>
      <c r="AP50" s="21" t="s">
        <v>162</v>
      </c>
      <c r="AQ50" s="10" t="s">
        <v>424</v>
      </c>
      <c r="AR50" s="10" t="s">
        <v>425</v>
      </c>
      <c r="AS50" s="10" t="s">
        <v>162</v>
      </c>
      <c r="AT50" s="10" t="s">
        <v>426</v>
      </c>
      <c r="AU50" s="10" t="s">
        <v>162</v>
      </c>
      <c r="AV50" s="10" t="s">
        <v>162</v>
      </c>
      <c r="AW50" s="10"/>
    </row>
    <row r="51" spans="1:49">
      <c r="A51" s="10" t="s">
        <v>427</v>
      </c>
      <c r="B51" s="10" t="s">
        <v>162</v>
      </c>
      <c r="C51" s="10" t="s">
        <v>163</v>
      </c>
      <c r="D51" s="74">
        <v>44370</v>
      </c>
      <c r="E51" s="10" t="s">
        <v>428</v>
      </c>
      <c r="F51" s="75" t="str">
        <f>VLOOKUP($E51,'Item Classification'!B:C,2,0)</f>
        <v>Airborne surveillance system</v>
      </c>
      <c r="G51" s="10" t="str">
        <f>VLOOKUP($E51,'Item Classification'!B:D,3,0)</f>
        <v>Aircraft</v>
      </c>
      <c r="H51" s="76">
        <f>VLOOKUP($E51,'Item Classification'!B:E,4,0)</f>
        <v>11</v>
      </c>
      <c r="I51" s="81">
        <v>1</v>
      </c>
      <c r="J51" s="182">
        <f>M51/I51</f>
        <v>1540000000</v>
      </c>
      <c r="K51" s="81">
        <v>2026</v>
      </c>
      <c r="L51" s="81">
        <v>2028</v>
      </c>
      <c r="M51" s="183">
        <v>1540000000</v>
      </c>
      <c r="N51" s="10" t="s">
        <v>165</v>
      </c>
      <c r="O51" s="10" t="s">
        <v>162</v>
      </c>
      <c r="P51" s="10" t="s">
        <v>163</v>
      </c>
      <c r="Q51" s="77">
        <v>18</v>
      </c>
      <c r="R51" s="77">
        <v>0</v>
      </c>
      <c r="S51" s="77">
        <v>0</v>
      </c>
      <c r="T51" s="77">
        <v>0</v>
      </c>
      <c r="U51" s="77">
        <v>1</v>
      </c>
      <c r="V51" s="77">
        <v>0</v>
      </c>
      <c r="W51" s="77">
        <v>1</v>
      </c>
      <c r="X51" s="77">
        <v>1</v>
      </c>
      <c r="Y51" s="10" t="s">
        <v>179</v>
      </c>
      <c r="Z51" s="10" t="s">
        <v>163</v>
      </c>
      <c r="AA51" s="21" t="s">
        <v>162</v>
      </c>
      <c r="AB51" s="10" t="s">
        <v>429</v>
      </c>
      <c r="AC51" s="21" t="s">
        <v>430</v>
      </c>
      <c r="AD51" s="21" t="s">
        <v>162</v>
      </c>
      <c r="AE51" s="21" t="s">
        <v>162</v>
      </c>
      <c r="AF51" s="10" t="s">
        <v>431</v>
      </c>
      <c r="AG51" s="10" t="s">
        <v>162</v>
      </c>
      <c r="AH51" s="21" t="s">
        <v>162</v>
      </c>
      <c r="AI51" s="21" t="s">
        <v>162</v>
      </c>
      <c r="AJ51" s="21" t="s">
        <v>162</v>
      </c>
      <c r="AK51" s="21" t="s">
        <v>162</v>
      </c>
      <c r="AL51" s="21" t="s">
        <v>162</v>
      </c>
      <c r="AM51" s="21" t="s">
        <v>162</v>
      </c>
      <c r="AN51" s="21" t="s">
        <v>162</v>
      </c>
      <c r="AO51" s="10" t="s">
        <v>162</v>
      </c>
      <c r="AP51" s="21" t="s">
        <v>162</v>
      </c>
      <c r="AQ51" s="10" t="s">
        <v>424</v>
      </c>
      <c r="AR51" s="10" t="s">
        <v>432</v>
      </c>
      <c r="AS51" s="10" t="s">
        <v>433</v>
      </c>
      <c r="AT51" s="10" t="s">
        <v>434</v>
      </c>
      <c r="AU51" s="10" t="s">
        <v>162</v>
      </c>
      <c r="AV51" s="10" t="s">
        <v>162</v>
      </c>
      <c r="AW51" s="10"/>
    </row>
    <row r="52" spans="1:49">
      <c r="A52" s="10" t="s">
        <v>435</v>
      </c>
      <c r="B52" s="10" t="s">
        <v>162</v>
      </c>
      <c r="C52" s="10" t="s">
        <v>163</v>
      </c>
      <c r="D52" s="74">
        <v>44370</v>
      </c>
      <c r="E52" s="10" t="s">
        <v>436</v>
      </c>
      <c r="F52" s="75" t="str">
        <f>VLOOKUP($E52,'Item Classification'!B:C,2,0)</f>
        <v>Communication and digitalisation</v>
      </c>
      <c r="G52" s="10" t="str">
        <f>VLOOKUP($E52,'Item Classification'!B:D,3,0)</f>
        <v>Modernisation</v>
      </c>
      <c r="H52" s="76">
        <f>VLOOKUP($E52,'Item Classification'!B:E,4,0)</f>
        <v>13</v>
      </c>
      <c r="I52" s="81">
        <v>4</v>
      </c>
      <c r="J52" s="81" t="s">
        <v>162</v>
      </c>
      <c r="K52" s="81" t="s">
        <v>162</v>
      </c>
      <c r="L52" s="81" t="s">
        <v>162</v>
      </c>
      <c r="M52" s="81" t="s">
        <v>162</v>
      </c>
      <c r="N52" s="10" t="s">
        <v>165</v>
      </c>
      <c r="O52" s="10" t="s">
        <v>162</v>
      </c>
      <c r="P52" s="10" t="s">
        <v>163</v>
      </c>
      <c r="Q52" s="77">
        <v>18</v>
      </c>
      <c r="R52" s="77">
        <v>0</v>
      </c>
      <c r="S52" s="77">
        <v>0</v>
      </c>
      <c r="T52" s="77">
        <v>0</v>
      </c>
      <c r="U52" s="77">
        <v>1</v>
      </c>
      <c r="V52" s="77">
        <v>0</v>
      </c>
      <c r="W52" s="77">
        <v>1</v>
      </c>
      <c r="X52" s="77">
        <v>1</v>
      </c>
      <c r="Y52" s="10" t="s">
        <v>179</v>
      </c>
      <c r="Z52" s="10" t="s">
        <v>163</v>
      </c>
      <c r="AA52" s="21" t="s">
        <v>162</v>
      </c>
      <c r="AB52" s="10" t="s">
        <v>437</v>
      </c>
      <c r="AC52" s="21" t="s">
        <v>162</v>
      </c>
      <c r="AD52" s="21" t="s">
        <v>162</v>
      </c>
      <c r="AE52" s="21" t="s">
        <v>162</v>
      </c>
      <c r="AF52" s="10" t="s">
        <v>167</v>
      </c>
      <c r="AG52" s="10" t="s">
        <v>162</v>
      </c>
      <c r="AH52" s="21" t="s">
        <v>162</v>
      </c>
      <c r="AI52" s="21" t="s">
        <v>162</v>
      </c>
      <c r="AJ52" s="21" t="s">
        <v>162</v>
      </c>
      <c r="AK52" s="21" t="s">
        <v>162</v>
      </c>
      <c r="AL52" s="21" t="s">
        <v>162</v>
      </c>
      <c r="AM52" s="21" t="s">
        <v>162</v>
      </c>
      <c r="AN52" s="21" t="s">
        <v>162</v>
      </c>
      <c r="AO52" s="10" t="s">
        <v>162</v>
      </c>
      <c r="AP52" s="21" t="s">
        <v>162</v>
      </c>
      <c r="AQ52" s="10" t="s">
        <v>424</v>
      </c>
      <c r="AR52" s="10" t="s">
        <v>438</v>
      </c>
      <c r="AS52" s="10" t="s">
        <v>439</v>
      </c>
      <c r="AT52" s="10" t="s">
        <v>440</v>
      </c>
      <c r="AU52" s="10" t="s">
        <v>162</v>
      </c>
      <c r="AV52" s="10" t="s">
        <v>162</v>
      </c>
      <c r="AW52" s="10"/>
    </row>
    <row r="53" spans="1:49">
      <c r="A53" s="10" t="s">
        <v>441</v>
      </c>
      <c r="B53" s="10" t="s">
        <v>162</v>
      </c>
      <c r="C53" s="10" t="s">
        <v>163</v>
      </c>
      <c r="D53" s="74">
        <v>44370</v>
      </c>
      <c r="E53" s="10" t="s">
        <v>442</v>
      </c>
      <c r="F53" s="75" t="str">
        <f>VLOOKUP($E53,'Item Classification'!B:C,2,0)</f>
        <v>Air traffic control system</v>
      </c>
      <c r="G53" s="10" t="str">
        <f>VLOOKUP($E53,'Item Classification'!B:D,3,0)</f>
        <v>Aircraft</v>
      </c>
      <c r="H53" s="76">
        <f>VLOOKUP($E53,'Item Classification'!B:E,4,0)</f>
        <v>11</v>
      </c>
      <c r="I53" s="81">
        <v>1</v>
      </c>
      <c r="J53" s="182">
        <f>M53/I53</f>
        <v>67000000</v>
      </c>
      <c r="K53" s="81">
        <v>2023</v>
      </c>
      <c r="L53" s="81">
        <v>2026</v>
      </c>
      <c r="M53" s="183">
        <v>67000000</v>
      </c>
      <c r="N53" s="10" t="s">
        <v>165</v>
      </c>
      <c r="O53" s="10" t="s">
        <v>162</v>
      </c>
      <c r="P53" s="10" t="s">
        <v>163</v>
      </c>
      <c r="Q53" s="77">
        <v>18</v>
      </c>
      <c r="R53" s="77">
        <v>0</v>
      </c>
      <c r="S53" s="77">
        <v>0</v>
      </c>
      <c r="T53" s="77">
        <v>0</v>
      </c>
      <c r="U53" s="77">
        <v>1</v>
      </c>
      <c r="V53" s="77">
        <v>0</v>
      </c>
      <c r="W53" s="77">
        <v>0</v>
      </c>
      <c r="X53" s="77">
        <v>0</v>
      </c>
      <c r="Y53" s="10" t="s">
        <v>443</v>
      </c>
      <c r="Z53" s="10" t="s">
        <v>163</v>
      </c>
      <c r="AA53" s="21" t="s">
        <v>162</v>
      </c>
      <c r="AB53" s="10" t="s">
        <v>341</v>
      </c>
      <c r="AC53" s="21" t="s">
        <v>162</v>
      </c>
      <c r="AD53" s="21" t="s">
        <v>162</v>
      </c>
      <c r="AE53" s="21" t="s">
        <v>162</v>
      </c>
      <c r="AF53" s="10" t="s">
        <v>162</v>
      </c>
      <c r="AG53" s="10" t="s">
        <v>162</v>
      </c>
      <c r="AH53" s="21" t="s">
        <v>162</v>
      </c>
      <c r="AI53" s="21" t="s">
        <v>162</v>
      </c>
      <c r="AJ53" s="21" t="s">
        <v>162</v>
      </c>
      <c r="AK53" s="21" t="s">
        <v>162</v>
      </c>
      <c r="AL53" s="21" t="s">
        <v>162</v>
      </c>
      <c r="AM53" s="21" t="s">
        <v>162</v>
      </c>
      <c r="AN53" s="21" t="s">
        <v>162</v>
      </c>
      <c r="AO53" s="10" t="s">
        <v>162</v>
      </c>
      <c r="AP53" s="21" t="s">
        <v>162</v>
      </c>
      <c r="AQ53" s="10" t="s">
        <v>424</v>
      </c>
      <c r="AR53" s="10" t="s">
        <v>444</v>
      </c>
      <c r="AS53" s="10" t="s">
        <v>445</v>
      </c>
      <c r="AT53" s="10" t="s">
        <v>446</v>
      </c>
      <c r="AU53" s="10" t="s">
        <v>447</v>
      </c>
      <c r="AV53" s="10" t="s">
        <v>162</v>
      </c>
      <c r="AW53" s="10"/>
    </row>
    <row r="54" spans="1:49">
      <c r="A54" s="10" t="s">
        <v>448</v>
      </c>
      <c r="B54" s="10" t="s">
        <v>449</v>
      </c>
      <c r="C54" s="10" t="s">
        <v>163</v>
      </c>
      <c r="D54" s="74">
        <v>44370</v>
      </c>
      <c r="E54" s="10" t="s">
        <v>450</v>
      </c>
      <c r="F54" s="75" t="str">
        <f>VLOOKUP($E54,'Item Classification'!B:C,2,0)</f>
        <v>Reconnaissance ship</v>
      </c>
      <c r="G54" s="10" t="str">
        <f>VLOOKUP($E54,'Item Classification'!B:D,3,0)</f>
        <v>Naval</v>
      </c>
      <c r="H54" s="76">
        <f>VLOOKUP($E54,'Item Classification'!B:E,4,0)</f>
        <v>12</v>
      </c>
      <c r="I54" s="81">
        <v>3</v>
      </c>
      <c r="J54" s="182">
        <f>M54/I54</f>
        <v>700000000</v>
      </c>
      <c r="K54" s="81">
        <v>2027</v>
      </c>
      <c r="L54" s="81" t="s">
        <v>162</v>
      </c>
      <c r="M54" s="183">
        <v>2100000000</v>
      </c>
      <c r="N54" s="10" t="s">
        <v>165</v>
      </c>
      <c r="O54" s="10" t="s">
        <v>162</v>
      </c>
      <c r="P54" s="10" t="s">
        <v>163</v>
      </c>
      <c r="Q54" s="77">
        <v>18</v>
      </c>
      <c r="R54" s="77">
        <v>0</v>
      </c>
      <c r="S54" s="77">
        <v>0</v>
      </c>
      <c r="T54" s="77">
        <v>0</v>
      </c>
      <c r="U54" s="77">
        <v>1</v>
      </c>
      <c r="V54" s="77">
        <v>0</v>
      </c>
      <c r="W54" s="77">
        <v>0</v>
      </c>
      <c r="X54" s="77">
        <v>0</v>
      </c>
      <c r="Y54" s="10" t="s">
        <v>177</v>
      </c>
      <c r="Z54" s="10" t="s">
        <v>163</v>
      </c>
      <c r="AA54" s="21" t="s">
        <v>163</v>
      </c>
      <c r="AB54" s="10" t="s">
        <v>162</v>
      </c>
      <c r="AC54" s="21" t="s">
        <v>162</v>
      </c>
      <c r="AD54" s="21" t="s">
        <v>162</v>
      </c>
      <c r="AE54" s="21" t="s">
        <v>162</v>
      </c>
      <c r="AF54" s="10" t="s">
        <v>162</v>
      </c>
      <c r="AG54" s="10" t="s">
        <v>162</v>
      </c>
      <c r="AH54" s="21" t="s">
        <v>162</v>
      </c>
      <c r="AI54" s="21" t="s">
        <v>162</v>
      </c>
      <c r="AJ54" s="21" t="s">
        <v>162</v>
      </c>
      <c r="AK54" s="21" t="s">
        <v>162</v>
      </c>
      <c r="AL54" s="21" t="s">
        <v>162</v>
      </c>
      <c r="AM54" s="21" t="s">
        <v>162</v>
      </c>
      <c r="AN54" s="21" t="s">
        <v>162</v>
      </c>
      <c r="AO54" s="10" t="s">
        <v>162</v>
      </c>
      <c r="AP54" s="21" t="s">
        <v>162</v>
      </c>
      <c r="AQ54" s="10" t="s">
        <v>451</v>
      </c>
      <c r="AR54" s="10" t="s">
        <v>452</v>
      </c>
      <c r="AS54" s="10" t="s">
        <v>453</v>
      </c>
      <c r="AT54" s="10" t="s">
        <v>454</v>
      </c>
      <c r="AU54" s="10" t="s">
        <v>455</v>
      </c>
      <c r="AV54" s="10" t="s">
        <v>162</v>
      </c>
      <c r="AW54" s="10"/>
    </row>
    <row r="55" spans="1:49">
      <c r="A55" s="10" t="s">
        <v>456</v>
      </c>
      <c r="B55" s="10" t="s">
        <v>162</v>
      </c>
      <c r="C55" s="10" t="s">
        <v>163</v>
      </c>
      <c r="D55" s="74">
        <v>44370</v>
      </c>
      <c r="E55" s="10" t="s">
        <v>457</v>
      </c>
      <c r="F55" s="75" t="str">
        <f>VLOOKUP($E55,'Item Classification'!B:C,2,0)</f>
        <v>Replenishment auxiliary ship</v>
      </c>
      <c r="G55" s="10" t="str">
        <f>VLOOKUP($E55,'Item Classification'!B:D,3,0)</f>
        <v>Naval</v>
      </c>
      <c r="H55" s="76">
        <f>VLOOKUP($E55,'Item Classification'!B:E,4,0)</f>
        <v>12</v>
      </c>
      <c r="I55" s="81">
        <v>2</v>
      </c>
      <c r="J55" s="182">
        <f>M55/I55</f>
        <v>457000000</v>
      </c>
      <c r="K55" s="81">
        <v>2026</v>
      </c>
      <c r="L55" s="81" t="s">
        <v>162</v>
      </c>
      <c r="M55" s="183">
        <v>914000000</v>
      </c>
      <c r="N55" s="10" t="s">
        <v>165</v>
      </c>
      <c r="O55" s="10" t="s">
        <v>162</v>
      </c>
      <c r="P55" s="10" t="s">
        <v>163</v>
      </c>
      <c r="Q55" s="77">
        <v>18</v>
      </c>
      <c r="R55" s="77">
        <v>0</v>
      </c>
      <c r="S55" s="77">
        <v>0</v>
      </c>
      <c r="T55" s="77">
        <v>0</v>
      </c>
      <c r="U55" s="77">
        <v>1</v>
      </c>
      <c r="V55" s="77">
        <v>0</v>
      </c>
      <c r="W55" s="77">
        <v>0</v>
      </c>
      <c r="X55" s="77">
        <v>0</v>
      </c>
      <c r="Y55" s="10" t="s">
        <v>177</v>
      </c>
      <c r="Z55" s="10" t="s">
        <v>163</v>
      </c>
      <c r="AA55" s="21" t="s">
        <v>163</v>
      </c>
      <c r="AB55" s="10" t="s">
        <v>458</v>
      </c>
      <c r="AC55" s="21" t="s">
        <v>162</v>
      </c>
      <c r="AD55" s="21" t="s">
        <v>162</v>
      </c>
      <c r="AE55" s="21" t="s">
        <v>162</v>
      </c>
      <c r="AF55" s="10" t="s">
        <v>162</v>
      </c>
      <c r="AG55" s="10" t="s">
        <v>162</v>
      </c>
      <c r="AH55" s="21" t="s">
        <v>162</v>
      </c>
      <c r="AI55" s="21" t="s">
        <v>162</v>
      </c>
      <c r="AJ55" s="21" t="s">
        <v>162</v>
      </c>
      <c r="AK55" s="21" t="s">
        <v>162</v>
      </c>
      <c r="AL55" s="21" t="s">
        <v>162</v>
      </c>
      <c r="AM55" s="21" t="s">
        <v>162</v>
      </c>
      <c r="AN55" s="21" t="s">
        <v>162</v>
      </c>
      <c r="AO55" s="10" t="s">
        <v>162</v>
      </c>
      <c r="AP55" s="21" t="s">
        <v>162</v>
      </c>
      <c r="AQ55" s="10" t="s">
        <v>451</v>
      </c>
      <c r="AR55" s="10" t="s">
        <v>459</v>
      </c>
      <c r="AS55" s="10" t="s">
        <v>460</v>
      </c>
      <c r="AT55" s="10" t="s">
        <v>461</v>
      </c>
      <c r="AU55" s="10" t="s">
        <v>162</v>
      </c>
      <c r="AV55" s="10" t="s">
        <v>162</v>
      </c>
      <c r="AW55" s="10"/>
    </row>
    <row r="56" spans="1:49">
      <c r="A56" s="10" t="s">
        <v>462</v>
      </c>
      <c r="B56" s="10" t="s">
        <v>162</v>
      </c>
      <c r="C56" s="10" t="s">
        <v>163</v>
      </c>
      <c r="D56" s="74">
        <v>44370</v>
      </c>
      <c r="E56" s="10" t="s">
        <v>463</v>
      </c>
      <c r="F56" s="75" t="str">
        <f>VLOOKUP($E56,'Item Classification'!B:C,2,0)</f>
        <v>Submarine</v>
      </c>
      <c r="G56" s="10" t="str">
        <f>VLOOKUP($E56,'Item Classification'!B:D,3,0)</f>
        <v>Naval</v>
      </c>
      <c r="H56" s="76">
        <f>VLOOKUP($E56,'Item Classification'!B:E,4,0)</f>
        <v>12</v>
      </c>
      <c r="I56" s="81">
        <v>2</v>
      </c>
      <c r="J56" s="182">
        <f>M56/I56</f>
        <v>1000000000</v>
      </c>
      <c r="K56" s="81">
        <v>2032</v>
      </c>
      <c r="L56" s="81" t="s">
        <v>162</v>
      </c>
      <c r="M56" s="183">
        <v>2000000000</v>
      </c>
      <c r="N56" s="10" t="s">
        <v>165</v>
      </c>
      <c r="O56" s="10" t="s">
        <v>162</v>
      </c>
      <c r="P56" s="10" t="s">
        <v>163</v>
      </c>
      <c r="Q56" s="77">
        <v>18</v>
      </c>
      <c r="R56" s="77">
        <v>0</v>
      </c>
      <c r="S56" s="77">
        <v>0</v>
      </c>
      <c r="T56" s="77">
        <v>0</v>
      </c>
      <c r="U56" s="77">
        <v>1</v>
      </c>
      <c r="V56" s="77">
        <v>1</v>
      </c>
      <c r="W56" s="77">
        <v>0</v>
      </c>
      <c r="X56" s="77">
        <v>1</v>
      </c>
      <c r="Y56" s="10" t="s">
        <v>464</v>
      </c>
      <c r="Z56" s="10" t="s">
        <v>163</v>
      </c>
      <c r="AA56" s="21" t="s">
        <v>162</v>
      </c>
      <c r="AB56" s="10" t="s">
        <v>162</v>
      </c>
      <c r="AC56" s="21" t="s">
        <v>162</v>
      </c>
      <c r="AD56" s="21" t="s">
        <v>162</v>
      </c>
      <c r="AE56" s="21" t="s">
        <v>162</v>
      </c>
      <c r="AF56" s="10" t="s">
        <v>465</v>
      </c>
      <c r="AG56" s="10" t="s">
        <v>162</v>
      </c>
      <c r="AH56" s="21" t="s">
        <v>162</v>
      </c>
      <c r="AI56" s="21" t="s">
        <v>162</v>
      </c>
      <c r="AJ56" s="21" t="s">
        <v>162</v>
      </c>
      <c r="AK56" s="21" t="s">
        <v>162</v>
      </c>
      <c r="AL56" s="21" t="s">
        <v>162</v>
      </c>
      <c r="AM56" s="21" t="s">
        <v>162</v>
      </c>
      <c r="AN56" s="21" t="s">
        <v>162</v>
      </c>
      <c r="AO56" s="10" t="s">
        <v>162</v>
      </c>
      <c r="AP56" s="21" t="s">
        <v>162</v>
      </c>
      <c r="AQ56" s="10" t="s">
        <v>451</v>
      </c>
      <c r="AR56" s="10" t="s">
        <v>466</v>
      </c>
      <c r="AS56" s="10" t="s">
        <v>467</v>
      </c>
      <c r="AT56" s="10" t="s">
        <v>468</v>
      </c>
      <c r="AU56" s="10" t="s">
        <v>469</v>
      </c>
      <c r="AV56" s="10" t="s">
        <v>162</v>
      </c>
      <c r="AW56" s="10"/>
    </row>
    <row r="57" spans="1:49">
      <c r="A57" s="10" t="s">
        <v>470</v>
      </c>
      <c r="B57" s="10" t="s">
        <v>162</v>
      </c>
      <c r="C57" s="10" t="s">
        <v>163</v>
      </c>
      <c r="D57" s="74">
        <v>44370</v>
      </c>
      <c r="E57" s="10" t="s">
        <v>471</v>
      </c>
      <c r="F57" s="75" t="str">
        <f>VLOOKUP($E57,'Item Classification'!B:C,2,0)</f>
        <v>Anti-ship missile (long-range)</v>
      </c>
      <c r="G57" s="10" t="str">
        <f>VLOOKUP($E57,'Item Classification'!B:D,3,0)</f>
        <v>Missile (Naval)</v>
      </c>
      <c r="H57" s="76">
        <f>VLOOKUP($E57,'Item Classification'!B:E,4,0)</f>
        <v>6</v>
      </c>
      <c r="I57" s="81" t="s">
        <v>162</v>
      </c>
      <c r="J57" s="81" t="s">
        <v>162</v>
      </c>
      <c r="K57" s="81" t="s">
        <v>162</v>
      </c>
      <c r="L57" s="81" t="s">
        <v>162</v>
      </c>
      <c r="M57" s="183">
        <v>425000000</v>
      </c>
      <c r="N57" s="10" t="s">
        <v>165</v>
      </c>
      <c r="O57" s="10" t="s">
        <v>162</v>
      </c>
      <c r="P57" s="10" t="s">
        <v>163</v>
      </c>
      <c r="Q57" s="77">
        <v>18</v>
      </c>
      <c r="R57" s="77">
        <v>0</v>
      </c>
      <c r="S57" s="77">
        <v>0</v>
      </c>
      <c r="T57" s="77">
        <v>0</v>
      </c>
      <c r="U57" s="77">
        <v>1</v>
      </c>
      <c r="V57" s="77">
        <v>1</v>
      </c>
      <c r="W57" s="77">
        <v>0</v>
      </c>
      <c r="X57" s="77">
        <v>1</v>
      </c>
      <c r="Y57" s="10" t="s">
        <v>472</v>
      </c>
      <c r="Z57" s="10" t="s">
        <v>163</v>
      </c>
      <c r="AA57" s="21" t="s">
        <v>162</v>
      </c>
      <c r="AB57" s="10" t="s">
        <v>473</v>
      </c>
      <c r="AC57" s="21" t="s">
        <v>162</v>
      </c>
      <c r="AD57" s="21" t="s">
        <v>162</v>
      </c>
      <c r="AE57" s="21" t="s">
        <v>162</v>
      </c>
      <c r="AF57" s="10" t="s">
        <v>465</v>
      </c>
      <c r="AG57" s="10" t="s">
        <v>162</v>
      </c>
      <c r="AH57" s="21" t="s">
        <v>162</v>
      </c>
      <c r="AI57" s="21" t="s">
        <v>162</v>
      </c>
      <c r="AJ57" s="21" t="s">
        <v>162</v>
      </c>
      <c r="AK57" s="21" t="s">
        <v>162</v>
      </c>
      <c r="AL57" s="21" t="s">
        <v>162</v>
      </c>
      <c r="AM57" s="21" t="s">
        <v>162</v>
      </c>
      <c r="AN57" s="21" t="s">
        <v>162</v>
      </c>
      <c r="AO57" s="10" t="s">
        <v>162</v>
      </c>
      <c r="AP57" s="21" t="s">
        <v>162</v>
      </c>
      <c r="AQ57" s="10" t="s">
        <v>451</v>
      </c>
      <c r="AR57" s="10" t="s">
        <v>474</v>
      </c>
      <c r="AS57" s="10" t="s">
        <v>475</v>
      </c>
      <c r="AT57" s="10" t="s">
        <v>476</v>
      </c>
      <c r="AU57" s="10" t="s">
        <v>477</v>
      </c>
      <c r="AV57" s="10" t="s">
        <v>478</v>
      </c>
      <c r="AW57" s="10" t="s">
        <v>162</v>
      </c>
    </row>
    <row r="58" spans="1:49">
      <c r="A58" s="10" t="s">
        <v>479</v>
      </c>
      <c r="B58" s="10" t="s">
        <v>162</v>
      </c>
      <c r="C58" s="10" t="s">
        <v>163</v>
      </c>
      <c r="D58" s="74">
        <v>44370</v>
      </c>
      <c r="E58" s="10" t="s">
        <v>480</v>
      </c>
      <c r="F58" s="75" t="str">
        <f>VLOOKUP($E58,'Item Classification'!B:C,2,0)</f>
        <v>Anti-ship missile system (long-range) development</v>
      </c>
      <c r="G58" s="10" t="str">
        <f>VLOOKUP($E58,'Item Classification'!B:D,3,0)</f>
        <v>Development - Missile (Naval)</v>
      </c>
      <c r="H58" s="76">
        <f>VLOOKUP($E58,'Item Classification'!B:E,4,0)</f>
        <v>15</v>
      </c>
      <c r="I58" s="81" t="s">
        <v>162</v>
      </c>
      <c r="J58" s="81" t="s">
        <v>162</v>
      </c>
      <c r="K58" s="81" t="s">
        <v>162</v>
      </c>
      <c r="L58" s="81" t="s">
        <v>162</v>
      </c>
      <c r="M58" s="81" t="s">
        <v>162</v>
      </c>
      <c r="N58" s="10" t="s">
        <v>165</v>
      </c>
      <c r="O58" s="10" t="s">
        <v>162</v>
      </c>
      <c r="P58" s="10" t="s">
        <v>163</v>
      </c>
      <c r="Q58" s="77">
        <v>18</v>
      </c>
      <c r="R58" s="77">
        <v>0</v>
      </c>
      <c r="S58" s="77">
        <v>0</v>
      </c>
      <c r="T58" s="77">
        <v>0</v>
      </c>
      <c r="U58" s="77">
        <v>1</v>
      </c>
      <c r="V58" s="77">
        <v>1</v>
      </c>
      <c r="W58" s="77">
        <v>0</v>
      </c>
      <c r="X58" s="77">
        <v>1</v>
      </c>
      <c r="Y58" s="10" t="s">
        <v>162</v>
      </c>
      <c r="Z58" s="10" t="s">
        <v>163</v>
      </c>
      <c r="AA58" s="21" t="s">
        <v>162</v>
      </c>
      <c r="AB58" s="10" t="s">
        <v>162</v>
      </c>
      <c r="AC58" s="21" t="s">
        <v>162</v>
      </c>
      <c r="AD58" s="21" t="s">
        <v>162</v>
      </c>
      <c r="AE58" s="21" t="s">
        <v>162</v>
      </c>
      <c r="AF58" s="10" t="s">
        <v>465</v>
      </c>
      <c r="AG58" s="10" t="s">
        <v>162</v>
      </c>
      <c r="AH58" s="21" t="s">
        <v>162</v>
      </c>
      <c r="AI58" s="21" t="s">
        <v>162</v>
      </c>
      <c r="AJ58" s="21" t="s">
        <v>162</v>
      </c>
      <c r="AK58" s="21" t="s">
        <v>162</v>
      </c>
      <c r="AL58" s="21" t="s">
        <v>162</v>
      </c>
      <c r="AM58" s="21" t="s">
        <v>162</v>
      </c>
      <c r="AN58" s="21" t="s">
        <v>162</v>
      </c>
      <c r="AO58" s="10" t="s">
        <v>162</v>
      </c>
      <c r="AP58" s="21" t="s">
        <v>162</v>
      </c>
      <c r="AQ58" s="10" t="s">
        <v>451</v>
      </c>
      <c r="AR58" s="10" t="s">
        <v>162</v>
      </c>
      <c r="AS58" s="10" t="s">
        <v>162</v>
      </c>
      <c r="AT58" s="10" t="s">
        <v>481</v>
      </c>
      <c r="AU58" s="10" t="s">
        <v>162</v>
      </c>
      <c r="AV58" s="10" t="s">
        <v>162</v>
      </c>
      <c r="AW58" s="10"/>
    </row>
    <row r="59" spans="1:49">
      <c r="A59" s="10" t="s">
        <v>482</v>
      </c>
      <c r="B59" s="10" t="s">
        <v>483</v>
      </c>
      <c r="C59" s="10" t="s">
        <v>163</v>
      </c>
      <c r="D59" s="74">
        <v>44370</v>
      </c>
      <c r="E59" s="10" t="s">
        <v>484</v>
      </c>
      <c r="F59" s="75" t="str">
        <f>VLOOKUP($E59,'Item Classification'!B:C,2,0)</f>
        <v>Infantry fighting vehicle (IFV)</v>
      </c>
      <c r="G59" s="10" t="str">
        <f>VLOOKUP($E59,'Item Classification'!B:D,3,0)</f>
        <v>Armoured vehicle</v>
      </c>
      <c r="H59" s="76">
        <f>VLOOKUP($E59,'Item Classification'!B:E,4,0)</f>
        <v>2</v>
      </c>
      <c r="I59" s="81">
        <v>154</v>
      </c>
      <c r="J59" s="182">
        <f>M59/I59</f>
        <v>6753246.7532467535</v>
      </c>
      <c r="K59" s="81" t="s">
        <v>162</v>
      </c>
      <c r="L59" s="81">
        <v>2026</v>
      </c>
      <c r="M59" s="183">
        <v>1040000000</v>
      </c>
      <c r="N59" s="10" t="s">
        <v>165</v>
      </c>
      <c r="O59" s="10" t="s">
        <v>162</v>
      </c>
      <c r="P59" s="10" t="s">
        <v>163</v>
      </c>
      <c r="Q59" s="77">
        <v>18</v>
      </c>
      <c r="R59" s="77">
        <v>1</v>
      </c>
      <c r="S59" s="77">
        <v>0</v>
      </c>
      <c r="T59" s="77">
        <v>0</v>
      </c>
      <c r="U59" s="77">
        <v>1</v>
      </c>
      <c r="V59" s="77">
        <v>0</v>
      </c>
      <c r="W59" s="77">
        <v>0</v>
      </c>
      <c r="X59" s="77">
        <v>0</v>
      </c>
      <c r="Y59" s="10" t="s">
        <v>268</v>
      </c>
      <c r="Z59" s="21" t="s">
        <v>163</v>
      </c>
      <c r="AA59" s="21" t="s">
        <v>163</v>
      </c>
      <c r="AB59" s="21" t="s">
        <v>485</v>
      </c>
      <c r="AC59" s="21" t="s">
        <v>162</v>
      </c>
      <c r="AD59" s="21" t="s">
        <v>162</v>
      </c>
      <c r="AE59" s="21" t="s">
        <v>162</v>
      </c>
      <c r="AF59" s="10" t="s">
        <v>162</v>
      </c>
      <c r="AG59" s="10" t="s">
        <v>162</v>
      </c>
      <c r="AH59" s="21" t="s">
        <v>162</v>
      </c>
      <c r="AI59" s="21" t="s">
        <v>162</v>
      </c>
      <c r="AJ59" s="21" t="s">
        <v>162</v>
      </c>
      <c r="AK59" s="21" t="s">
        <v>162</v>
      </c>
      <c r="AL59" s="21" t="s">
        <v>162</v>
      </c>
      <c r="AM59" s="21" t="s">
        <v>162</v>
      </c>
      <c r="AN59" s="21" t="s">
        <v>162</v>
      </c>
      <c r="AO59" s="10" t="s">
        <v>162</v>
      </c>
      <c r="AP59" s="21" t="s">
        <v>162</v>
      </c>
      <c r="AQ59" s="10" t="s">
        <v>417</v>
      </c>
      <c r="AR59" s="10" t="s">
        <v>486</v>
      </c>
      <c r="AS59" s="10" t="s">
        <v>162</v>
      </c>
      <c r="AT59" s="10" t="s">
        <v>487</v>
      </c>
      <c r="AU59" s="10" t="s">
        <v>162</v>
      </c>
      <c r="AV59" s="10" t="s">
        <v>162</v>
      </c>
      <c r="AW59" s="10"/>
    </row>
    <row r="60" spans="1:49">
      <c r="A60" s="10" t="s">
        <v>488</v>
      </c>
      <c r="B60" s="10" t="s">
        <v>162</v>
      </c>
      <c r="C60" s="10" t="s">
        <v>163</v>
      </c>
      <c r="D60" s="74">
        <v>44370</v>
      </c>
      <c r="E60" s="10" t="s">
        <v>489</v>
      </c>
      <c r="F60" s="75" t="str">
        <f>VLOOKUP($E60,'Item Classification'!B:C,2,0)</f>
        <v>Joint tactical fire support vehicle</v>
      </c>
      <c r="G60" s="10" t="str">
        <f>VLOOKUP($E60,'Item Classification'!B:D,3,0)</f>
        <v>Development - Armoured vehicle</v>
      </c>
      <c r="H60" s="76">
        <f>VLOOKUP($E60,'Item Classification'!B:E,4,0)</f>
        <v>15</v>
      </c>
      <c r="I60" s="81">
        <v>2</v>
      </c>
      <c r="J60" s="182">
        <f>M60/I60</f>
        <v>35000000</v>
      </c>
      <c r="K60" s="81" t="s">
        <v>162</v>
      </c>
      <c r="L60" s="81" t="s">
        <v>162</v>
      </c>
      <c r="M60" s="183">
        <v>70000000</v>
      </c>
      <c r="N60" s="10" t="s">
        <v>165</v>
      </c>
      <c r="O60" s="10" t="s">
        <v>162</v>
      </c>
      <c r="P60" s="10" t="s">
        <v>163</v>
      </c>
      <c r="Q60" s="77">
        <v>18</v>
      </c>
      <c r="R60" s="77">
        <v>0</v>
      </c>
      <c r="S60" s="77">
        <v>0</v>
      </c>
      <c r="T60" s="77">
        <v>0</v>
      </c>
      <c r="U60" s="77">
        <v>1</v>
      </c>
      <c r="V60" s="77">
        <v>1</v>
      </c>
      <c r="W60" s="77">
        <v>0</v>
      </c>
      <c r="X60" s="77">
        <v>1</v>
      </c>
      <c r="Y60" s="21" t="s">
        <v>268</v>
      </c>
      <c r="Z60" s="21" t="s">
        <v>163</v>
      </c>
      <c r="AA60" s="21" t="s">
        <v>163</v>
      </c>
      <c r="AB60" s="21" t="s">
        <v>485</v>
      </c>
      <c r="AC60" s="21" t="s">
        <v>178</v>
      </c>
      <c r="AD60" s="21" t="s">
        <v>473</v>
      </c>
      <c r="AE60" s="21" t="s">
        <v>162</v>
      </c>
      <c r="AF60" s="10" t="s">
        <v>181</v>
      </c>
      <c r="AG60" s="10" t="s">
        <v>465</v>
      </c>
      <c r="AH60" s="21" t="s">
        <v>162</v>
      </c>
      <c r="AI60" s="21" t="s">
        <v>162</v>
      </c>
      <c r="AJ60" s="21" t="s">
        <v>162</v>
      </c>
      <c r="AK60" s="21" t="s">
        <v>162</v>
      </c>
      <c r="AL60" s="21" t="s">
        <v>162</v>
      </c>
      <c r="AM60" s="21" t="s">
        <v>162</v>
      </c>
      <c r="AN60" s="21" t="s">
        <v>162</v>
      </c>
      <c r="AO60" s="10" t="s">
        <v>162</v>
      </c>
      <c r="AP60" s="21" t="s">
        <v>162</v>
      </c>
      <c r="AQ60" s="10" t="s">
        <v>417</v>
      </c>
      <c r="AR60" s="10" t="s">
        <v>490</v>
      </c>
      <c r="AS60" s="10" t="s">
        <v>491</v>
      </c>
      <c r="AT60" s="10" t="s">
        <v>492</v>
      </c>
      <c r="AU60" s="10" t="s">
        <v>493</v>
      </c>
      <c r="AV60" s="10" t="s">
        <v>162</v>
      </c>
      <c r="AW60" s="10"/>
    </row>
    <row r="61" spans="1:49">
      <c r="A61" s="10" t="s">
        <v>494</v>
      </c>
      <c r="B61" s="10" t="s">
        <v>162</v>
      </c>
      <c r="C61" s="10" t="s">
        <v>163</v>
      </c>
      <c r="D61" s="74">
        <v>44370</v>
      </c>
      <c r="E61" s="10" t="s">
        <v>495</v>
      </c>
      <c r="F61" s="75" t="str">
        <f>VLOOKUP($E61,'Item Classification'!B:C,2,0)</f>
        <v>Special forces vehicle</v>
      </c>
      <c r="G61" s="10" t="str">
        <f>VLOOKUP($E61,'Item Classification'!B:D,3,0)</f>
        <v>Armoured vehicle</v>
      </c>
      <c r="H61" s="76">
        <f>VLOOKUP($E61,'Item Classification'!B:E,4,0)</f>
        <v>2</v>
      </c>
      <c r="I61" s="81">
        <v>4</v>
      </c>
      <c r="J61" s="81" t="s">
        <v>162</v>
      </c>
      <c r="K61" s="81" t="s">
        <v>162</v>
      </c>
      <c r="L61" s="81" t="s">
        <v>162</v>
      </c>
      <c r="M61" s="81" t="s">
        <v>162</v>
      </c>
      <c r="N61" s="10" t="s">
        <v>165</v>
      </c>
      <c r="O61" s="10" t="s">
        <v>162</v>
      </c>
      <c r="P61" s="10" t="s">
        <v>163</v>
      </c>
      <c r="Q61" s="77">
        <v>18</v>
      </c>
      <c r="R61" s="77">
        <v>1</v>
      </c>
      <c r="S61" s="77">
        <v>0</v>
      </c>
      <c r="T61" s="77">
        <v>0</v>
      </c>
      <c r="U61" s="77">
        <v>1</v>
      </c>
      <c r="V61" s="77">
        <v>0</v>
      </c>
      <c r="W61" s="77">
        <v>0</v>
      </c>
      <c r="X61" s="77">
        <v>0</v>
      </c>
      <c r="Y61" s="21" t="s">
        <v>496</v>
      </c>
      <c r="Z61" s="21" t="s">
        <v>176</v>
      </c>
      <c r="AA61" s="21" t="s">
        <v>162</v>
      </c>
      <c r="AB61" s="10" t="s">
        <v>162</v>
      </c>
      <c r="AC61" s="21" t="s">
        <v>162</v>
      </c>
      <c r="AD61" s="21" t="s">
        <v>162</v>
      </c>
      <c r="AE61" s="21" t="s">
        <v>162</v>
      </c>
      <c r="AF61" s="10" t="s">
        <v>162</v>
      </c>
      <c r="AG61" s="10" t="s">
        <v>162</v>
      </c>
      <c r="AH61" s="21" t="s">
        <v>162</v>
      </c>
      <c r="AI61" s="21" t="s">
        <v>162</v>
      </c>
      <c r="AJ61" s="21" t="s">
        <v>162</v>
      </c>
      <c r="AK61" s="21" t="s">
        <v>162</v>
      </c>
      <c r="AL61" s="21" t="s">
        <v>162</v>
      </c>
      <c r="AM61" s="21" t="s">
        <v>162</v>
      </c>
      <c r="AN61" s="21" t="s">
        <v>162</v>
      </c>
      <c r="AO61" s="10" t="s">
        <v>162</v>
      </c>
      <c r="AP61" s="21" t="s">
        <v>162</v>
      </c>
      <c r="AQ61" s="10" t="s">
        <v>417</v>
      </c>
      <c r="AR61" s="10" t="s">
        <v>497</v>
      </c>
      <c r="AS61" s="10" t="s">
        <v>498</v>
      </c>
      <c r="AT61" s="10" t="s">
        <v>499</v>
      </c>
      <c r="AU61" s="10" t="s">
        <v>500</v>
      </c>
      <c r="AV61" s="10" t="s">
        <v>162</v>
      </c>
      <c r="AW61" s="10"/>
    </row>
    <row r="62" spans="1:49">
      <c r="A62" s="10" t="s">
        <v>501</v>
      </c>
      <c r="B62" s="10" t="s">
        <v>162</v>
      </c>
      <c r="C62" s="10" t="s">
        <v>163</v>
      </c>
      <c r="D62" s="74">
        <v>44370</v>
      </c>
      <c r="E62" s="10" t="s">
        <v>502</v>
      </c>
      <c r="F62" s="75" t="str">
        <f>VLOOKUP($E62,'Item Classification'!B:C,2,0)</f>
        <v>Communication and digitalisation</v>
      </c>
      <c r="G62" s="10" t="str">
        <f>VLOOKUP($E62,'Item Classification'!B:D,3,0)</f>
        <v>Modernisation</v>
      </c>
      <c r="H62" s="76">
        <f>VLOOKUP($E62,'Item Classification'!B:E,4,0)</f>
        <v>13</v>
      </c>
      <c r="I62" s="81">
        <v>4</v>
      </c>
      <c r="J62" s="182">
        <f>M62/I62</f>
        <v>218500000</v>
      </c>
      <c r="K62" s="81">
        <v>2022</v>
      </c>
      <c r="L62" s="81">
        <v>2025</v>
      </c>
      <c r="M62" s="183">
        <v>874000000</v>
      </c>
      <c r="N62" s="10" t="s">
        <v>165</v>
      </c>
      <c r="O62" s="10" t="s">
        <v>162</v>
      </c>
      <c r="P62" s="10" t="s">
        <v>163</v>
      </c>
      <c r="Q62" s="77">
        <v>18</v>
      </c>
      <c r="R62" s="77">
        <v>1</v>
      </c>
      <c r="S62" s="77">
        <v>1</v>
      </c>
      <c r="T62" s="77">
        <v>0</v>
      </c>
      <c r="U62" s="77">
        <v>1</v>
      </c>
      <c r="V62" s="77">
        <v>0</v>
      </c>
      <c r="W62" s="77">
        <v>0</v>
      </c>
      <c r="X62" s="77">
        <v>0</v>
      </c>
      <c r="Y62" s="21" t="s">
        <v>503</v>
      </c>
      <c r="Z62" s="21" t="s">
        <v>163</v>
      </c>
      <c r="AA62" s="21" t="s">
        <v>162</v>
      </c>
      <c r="AB62" s="10" t="s">
        <v>162</v>
      </c>
      <c r="AC62" s="21" t="s">
        <v>162</v>
      </c>
      <c r="AD62" s="21" t="s">
        <v>162</v>
      </c>
      <c r="AE62" s="21" t="s">
        <v>162</v>
      </c>
      <c r="AF62" s="10" t="s">
        <v>162</v>
      </c>
      <c r="AG62" s="10" t="s">
        <v>162</v>
      </c>
      <c r="AH62" s="21" t="s">
        <v>162</v>
      </c>
      <c r="AI62" s="21" t="s">
        <v>162</v>
      </c>
      <c r="AJ62" s="21" t="s">
        <v>162</v>
      </c>
      <c r="AK62" s="21" t="s">
        <v>162</v>
      </c>
      <c r="AL62" s="21" t="s">
        <v>162</v>
      </c>
      <c r="AM62" s="21" t="s">
        <v>162</v>
      </c>
      <c r="AN62" s="21" t="s">
        <v>162</v>
      </c>
      <c r="AO62" s="10" t="s">
        <v>162</v>
      </c>
      <c r="AP62" s="21" t="s">
        <v>162</v>
      </c>
      <c r="AQ62" s="10" t="s">
        <v>417</v>
      </c>
      <c r="AR62" s="10" t="s">
        <v>504</v>
      </c>
      <c r="AS62" s="10" t="s">
        <v>505</v>
      </c>
      <c r="AT62" s="10" t="s">
        <v>506</v>
      </c>
      <c r="AU62" s="10" t="s">
        <v>162</v>
      </c>
      <c r="AV62" s="10" t="s">
        <v>162</v>
      </c>
      <c r="AW62" s="10"/>
    </row>
    <row r="63" spans="1:49">
      <c r="A63" s="10" t="s">
        <v>507</v>
      </c>
      <c r="B63" s="10" t="s">
        <v>162</v>
      </c>
      <c r="C63" s="10" t="s">
        <v>163</v>
      </c>
      <c r="D63" s="74">
        <v>44370</v>
      </c>
      <c r="E63" s="10" t="s">
        <v>508</v>
      </c>
      <c r="F63" s="75" t="str">
        <f>VLOOKUP($E63,'Item Classification'!B:C,2,0)</f>
        <v>Armoured personnel carrier (APC)</v>
      </c>
      <c r="G63" s="10" t="str">
        <f>VLOOKUP($E63,'Item Classification'!B:D,3,0)</f>
        <v>Armoured vehicle</v>
      </c>
      <c r="H63" s="76">
        <f>VLOOKUP($E63,'Item Classification'!B:E,4,0)</f>
        <v>2</v>
      </c>
      <c r="I63" s="81">
        <v>12</v>
      </c>
      <c r="J63" s="182">
        <f>M63/I63</f>
        <v>3250000</v>
      </c>
      <c r="K63" s="81">
        <v>2024</v>
      </c>
      <c r="L63" s="81">
        <v>2026</v>
      </c>
      <c r="M63" s="183">
        <v>39000000</v>
      </c>
      <c r="N63" s="10" t="s">
        <v>165</v>
      </c>
      <c r="O63" s="10" t="s">
        <v>162</v>
      </c>
      <c r="P63" s="10" t="s">
        <v>163</v>
      </c>
      <c r="Q63" s="77">
        <v>18</v>
      </c>
      <c r="R63" s="77">
        <v>0</v>
      </c>
      <c r="S63" s="77">
        <v>0</v>
      </c>
      <c r="T63" s="77">
        <v>0</v>
      </c>
      <c r="U63" s="77">
        <v>1</v>
      </c>
      <c r="V63" s="77">
        <v>0</v>
      </c>
      <c r="W63" s="77">
        <v>0</v>
      </c>
      <c r="X63" s="77">
        <v>0</v>
      </c>
      <c r="Y63" s="21" t="s">
        <v>168</v>
      </c>
      <c r="Z63" s="21" t="s">
        <v>163</v>
      </c>
      <c r="AA63" s="21" t="s">
        <v>162</v>
      </c>
      <c r="AB63" s="10" t="s">
        <v>509</v>
      </c>
      <c r="AC63" s="21" t="s">
        <v>510</v>
      </c>
      <c r="AD63" s="21" t="s">
        <v>162</v>
      </c>
      <c r="AE63" s="21" t="s">
        <v>162</v>
      </c>
      <c r="AF63" s="10" t="s">
        <v>162</v>
      </c>
      <c r="AG63" s="10" t="s">
        <v>162</v>
      </c>
      <c r="AH63" s="21" t="s">
        <v>162</v>
      </c>
      <c r="AI63" s="21" t="s">
        <v>162</v>
      </c>
      <c r="AJ63" s="21" t="s">
        <v>162</v>
      </c>
      <c r="AK63" s="21" t="s">
        <v>162</v>
      </c>
      <c r="AL63" s="21" t="s">
        <v>162</v>
      </c>
      <c r="AM63" s="21" t="s">
        <v>162</v>
      </c>
      <c r="AN63" s="21" t="s">
        <v>162</v>
      </c>
      <c r="AO63" s="10" t="s">
        <v>162</v>
      </c>
      <c r="AP63" s="21" t="s">
        <v>162</v>
      </c>
      <c r="AQ63" s="5" t="s">
        <v>417</v>
      </c>
      <c r="AR63" s="10" t="s">
        <v>511</v>
      </c>
      <c r="AS63" s="10" t="s">
        <v>512</v>
      </c>
      <c r="AT63" s="10" t="s">
        <v>513</v>
      </c>
      <c r="AU63" s="10" t="s">
        <v>514</v>
      </c>
      <c r="AV63" s="10" t="s">
        <v>162</v>
      </c>
      <c r="AW63" s="10"/>
    </row>
    <row r="64" spans="1:49">
      <c r="A64" s="10" t="s">
        <v>515</v>
      </c>
      <c r="B64" s="10" t="s">
        <v>162</v>
      </c>
      <c r="C64" s="10" t="s">
        <v>163</v>
      </c>
      <c r="D64" s="74">
        <v>44370</v>
      </c>
      <c r="E64" s="10" t="s">
        <v>516</v>
      </c>
      <c r="F64" s="75" t="str">
        <f>VLOOKUP($E64,'Item Classification'!B:C,2,0)</f>
        <v>Non-combat military vehicle</v>
      </c>
      <c r="G64" s="10" t="str">
        <f>VLOOKUP($E64,'Item Classification'!B:D,3,0)</f>
        <v>Other</v>
      </c>
      <c r="H64" s="76">
        <f>VLOOKUP($E64,'Item Classification'!B:E,4,0)</f>
        <v>16</v>
      </c>
      <c r="I64" s="81">
        <v>294</v>
      </c>
      <c r="J64" s="182">
        <f>M64/I64</f>
        <v>829931.97278911562</v>
      </c>
      <c r="K64" s="81">
        <v>2023</v>
      </c>
      <c r="L64" s="81">
        <v>2027</v>
      </c>
      <c r="M64" s="183">
        <v>244000000</v>
      </c>
      <c r="N64" s="10" t="s">
        <v>165</v>
      </c>
      <c r="O64" s="10" t="s">
        <v>162</v>
      </c>
      <c r="P64" s="10" t="s">
        <v>163</v>
      </c>
      <c r="Q64" s="77">
        <v>18</v>
      </c>
      <c r="R64" s="77">
        <v>1</v>
      </c>
      <c r="S64" s="77">
        <v>0</v>
      </c>
      <c r="T64" s="77">
        <v>0</v>
      </c>
      <c r="U64" s="77">
        <v>1</v>
      </c>
      <c r="V64" s="77">
        <v>0</v>
      </c>
      <c r="W64" s="77">
        <v>0</v>
      </c>
      <c r="X64" s="77">
        <v>0</v>
      </c>
      <c r="Y64" s="21" t="s">
        <v>517</v>
      </c>
      <c r="Z64" s="21" t="s">
        <v>163</v>
      </c>
      <c r="AA64" s="21" t="s">
        <v>162</v>
      </c>
      <c r="AB64" s="10" t="s">
        <v>518</v>
      </c>
      <c r="AC64" s="21" t="s">
        <v>162</v>
      </c>
      <c r="AD64" s="21" t="s">
        <v>162</v>
      </c>
      <c r="AE64" s="21" t="s">
        <v>162</v>
      </c>
      <c r="AF64" s="10" t="s">
        <v>162</v>
      </c>
      <c r="AG64" s="10" t="s">
        <v>162</v>
      </c>
      <c r="AH64" s="21" t="s">
        <v>162</v>
      </c>
      <c r="AI64" s="21" t="s">
        <v>162</v>
      </c>
      <c r="AJ64" s="21" t="s">
        <v>162</v>
      </c>
      <c r="AK64" s="21" t="s">
        <v>162</v>
      </c>
      <c r="AL64" s="21" t="s">
        <v>162</v>
      </c>
      <c r="AM64" s="21" t="s">
        <v>162</v>
      </c>
      <c r="AN64" s="21" t="s">
        <v>162</v>
      </c>
      <c r="AO64" s="10" t="s">
        <v>162</v>
      </c>
      <c r="AP64" s="21" t="s">
        <v>162</v>
      </c>
      <c r="AQ64" s="5" t="s">
        <v>417</v>
      </c>
      <c r="AR64" s="10" t="s">
        <v>519</v>
      </c>
      <c r="AS64" s="10" t="s">
        <v>520</v>
      </c>
      <c r="AT64" s="10" t="s">
        <v>521</v>
      </c>
      <c r="AU64" s="10" t="s">
        <v>522</v>
      </c>
      <c r="AV64" s="10" t="s">
        <v>162</v>
      </c>
      <c r="AW64" s="10"/>
    </row>
    <row r="65" spans="1:49">
      <c r="A65" s="10" t="s">
        <v>523</v>
      </c>
      <c r="B65" s="10" t="s">
        <v>524</v>
      </c>
      <c r="C65" s="10" t="s">
        <v>163</v>
      </c>
      <c r="D65" s="74">
        <v>44370</v>
      </c>
      <c r="E65" s="10" t="s">
        <v>525</v>
      </c>
      <c r="F65" s="75" t="str">
        <f>VLOOKUP($E65,'Item Classification'!B:C,2,0)</f>
        <v>Frigate modernisation</v>
      </c>
      <c r="G65" s="10" t="str">
        <f>VLOOKUP($E65,'Item Classification'!B:D,3,0)</f>
        <v>Naval</v>
      </c>
      <c r="H65" s="76">
        <f>VLOOKUP($E65,'Item Classification'!B:E,4,0)</f>
        <v>12</v>
      </c>
      <c r="I65" s="81">
        <v>4</v>
      </c>
      <c r="J65" s="182">
        <f>M65/I65</f>
        <v>116000000</v>
      </c>
      <c r="K65" s="81">
        <v>2024</v>
      </c>
      <c r="L65" s="81">
        <v>2027</v>
      </c>
      <c r="M65" s="183">
        <v>464000000</v>
      </c>
      <c r="N65" s="10" t="s">
        <v>165</v>
      </c>
      <c r="O65" s="10" t="s">
        <v>162</v>
      </c>
      <c r="P65" s="10" t="s">
        <v>163</v>
      </c>
      <c r="Q65" s="77">
        <v>18</v>
      </c>
      <c r="R65" s="77">
        <v>0</v>
      </c>
      <c r="S65" s="77">
        <v>0</v>
      </c>
      <c r="T65" s="77">
        <v>0</v>
      </c>
      <c r="U65" s="77">
        <v>1</v>
      </c>
      <c r="V65" s="77">
        <v>1</v>
      </c>
      <c r="W65" s="77">
        <v>1</v>
      </c>
      <c r="X65" s="77">
        <v>1</v>
      </c>
      <c r="Y65" s="21" t="s">
        <v>231</v>
      </c>
      <c r="Z65" s="21" t="s">
        <v>232</v>
      </c>
      <c r="AA65" s="21" t="s">
        <v>163</v>
      </c>
      <c r="AB65" s="10" t="s">
        <v>526</v>
      </c>
      <c r="AC65" s="21" t="s">
        <v>341</v>
      </c>
      <c r="AD65" s="21" t="s">
        <v>162</v>
      </c>
      <c r="AE65" s="21" t="s">
        <v>162</v>
      </c>
      <c r="AF65" s="10" t="s">
        <v>163</v>
      </c>
      <c r="AG65" s="10" t="s">
        <v>162</v>
      </c>
      <c r="AH65" s="21" t="s">
        <v>162</v>
      </c>
      <c r="AI65" s="21" t="s">
        <v>162</v>
      </c>
      <c r="AJ65" s="21" t="s">
        <v>162</v>
      </c>
      <c r="AK65" s="21" t="s">
        <v>162</v>
      </c>
      <c r="AL65" s="21" t="s">
        <v>162</v>
      </c>
      <c r="AM65" s="21" t="s">
        <v>162</v>
      </c>
      <c r="AN65" s="21" t="s">
        <v>162</v>
      </c>
      <c r="AO65" s="10" t="s">
        <v>232</v>
      </c>
      <c r="AP65" s="21" t="s">
        <v>527</v>
      </c>
      <c r="AQ65" s="5" t="s">
        <v>417</v>
      </c>
      <c r="AR65" s="10" t="s">
        <v>528</v>
      </c>
      <c r="AS65" s="10" t="s">
        <v>529</v>
      </c>
      <c r="AT65" s="10" t="s">
        <v>530</v>
      </c>
      <c r="AU65" s="10" t="s">
        <v>531</v>
      </c>
      <c r="AV65" s="10" t="s">
        <v>532</v>
      </c>
      <c r="AW65" s="10" t="s">
        <v>162</v>
      </c>
    </row>
    <row r="66" spans="1:49">
      <c r="A66" s="10" t="s">
        <v>533</v>
      </c>
      <c r="B66" s="10" t="s">
        <v>229</v>
      </c>
      <c r="C66" s="10" t="s">
        <v>163</v>
      </c>
      <c r="D66" s="74">
        <v>44370</v>
      </c>
      <c r="E66" s="10" t="s">
        <v>534</v>
      </c>
      <c r="F66" s="75" t="str">
        <f>VLOOKUP($E66,'Item Classification'!B:C,2,0)</f>
        <v>Repair equipment for surface-to-surface (SSM) missile</v>
      </c>
      <c r="G66" s="10" t="str">
        <f>VLOOKUP($E66,'Item Classification'!B:D,3,0)</f>
        <v>Missile (Naval)</v>
      </c>
      <c r="H66" s="76">
        <f>VLOOKUP($E66,'Item Classification'!B:E,4,0)</f>
        <v>6</v>
      </c>
      <c r="I66" s="81" t="s">
        <v>162</v>
      </c>
      <c r="J66" s="81" t="s">
        <v>162</v>
      </c>
      <c r="K66" s="81">
        <v>2025</v>
      </c>
      <c r="L66" s="81" t="s">
        <v>162</v>
      </c>
      <c r="M66" s="81" t="s">
        <v>162</v>
      </c>
      <c r="N66" s="10" t="s">
        <v>165</v>
      </c>
      <c r="O66" s="10" t="s">
        <v>162</v>
      </c>
      <c r="P66" s="10" t="s">
        <v>163</v>
      </c>
      <c r="Q66" s="77">
        <v>18</v>
      </c>
      <c r="R66" s="77">
        <v>0</v>
      </c>
      <c r="S66" s="77">
        <v>0</v>
      </c>
      <c r="T66" s="77">
        <v>0</v>
      </c>
      <c r="U66" s="77">
        <v>1</v>
      </c>
      <c r="V66" s="77">
        <v>0</v>
      </c>
      <c r="W66" s="77">
        <v>0</v>
      </c>
      <c r="X66" s="77">
        <v>0</v>
      </c>
      <c r="Y66" s="10" t="s">
        <v>213</v>
      </c>
      <c r="Z66" s="21" t="s">
        <v>163</v>
      </c>
      <c r="AA66" s="21" t="s">
        <v>163</v>
      </c>
      <c r="AB66" s="10" t="s">
        <v>162</v>
      </c>
      <c r="AC66" s="21" t="s">
        <v>162</v>
      </c>
      <c r="AD66" s="21" t="s">
        <v>162</v>
      </c>
      <c r="AE66" s="21" t="s">
        <v>162</v>
      </c>
      <c r="AF66" s="10" t="s">
        <v>162</v>
      </c>
      <c r="AG66" s="10" t="s">
        <v>162</v>
      </c>
      <c r="AH66" s="21" t="s">
        <v>162</v>
      </c>
      <c r="AI66" s="21" t="s">
        <v>162</v>
      </c>
      <c r="AJ66" s="21" t="s">
        <v>162</v>
      </c>
      <c r="AK66" s="21" t="s">
        <v>162</v>
      </c>
      <c r="AL66" s="21" t="s">
        <v>162</v>
      </c>
      <c r="AM66" s="21" t="s">
        <v>162</v>
      </c>
      <c r="AN66" s="21" t="s">
        <v>162</v>
      </c>
      <c r="AO66" s="10" t="s">
        <v>162</v>
      </c>
      <c r="AP66" s="21" t="s">
        <v>162</v>
      </c>
      <c r="AQ66" s="5" t="s">
        <v>417</v>
      </c>
      <c r="AR66" s="10" t="s">
        <v>535</v>
      </c>
      <c r="AS66" s="10" t="s">
        <v>536</v>
      </c>
      <c r="AT66" s="10" t="s">
        <v>537</v>
      </c>
      <c r="AU66" s="10" t="s">
        <v>538</v>
      </c>
      <c r="AV66" s="10" t="s">
        <v>162</v>
      </c>
      <c r="AW66" s="10"/>
    </row>
    <row r="67" spans="1:49">
      <c r="A67" s="10" t="s">
        <v>539</v>
      </c>
      <c r="B67" s="10" t="s">
        <v>162</v>
      </c>
      <c r="C67" s="10" t="s">
        <v>163</v>
      </c>
      <c r="D67" s="74">
        <v>44370</v>
      </c>
      <c r="E67" s="10" t="s">
        <v>540</v>
      </c>
      <c r="F67" s="75" t="str">
        <f>VLOOKUP($E67,'Item Classification'!B:C,2,0)</f>
        <v>Frigate modernisation</v>
      </c>
      <c r="G67" s="10" t="str">
        <f>VLOOKUP($E67,'Item Classification'!B:D,3,0)</f>
        <v>Naval</v>
      </c>
      <c r="H67" s="76">
        <f>VLOOKUP($E67,'Item Classification'!B:E,4,0)</f>
        <v>12</v>
      </c>
      <c r="I67" s="81">
        <v>4</v>
      </c>
      <c r="J67" s="182">
        <f>M67/I67</f>
        <v>55000000</v>
      </c>
      <c r="K67" s="81">
        <v>2024</v>
      </c>
      <c r="L67" s="81">
        <v>2028</v>
      </c>
      <c r="M67" s="183">
        <v>220000000</v>
      </c>
      <c r="N67" s="10" t="s">
        <v>165</v>
      </c>
      <c r="O67" s="10" t="s">
        <v>162</v>
      </c>
      <c r="P67" s="10" t="s">
        <v>163</v>
      </c>
      <c r="Q67" s="77">
        <v>18</v>
      </c>
      <c r="R67" s="77">
        <v>0</v>
      </c>
      <c r="S67" s="77">
        <v>0</v>
      </c>
      <c r="T67" s="77">
        <v>0</v>
      </c>
      <c r="U67" s="77">
        <v>1</v>
      </c>
      <c r="V67" s="77">
        <v>0</v>
      </c>
      <c r="W67" s="77">
        <v>0</v>
      </c>
      <c r="X67" s="77">
        <v>0</v>
      </c>
      <c r="Y67" s="10" t="s">
        <v>541</v>
      </c>
      <c r="Z67" s="21" t="s">
        <v>163</v>
      </c>
      <c r="AA67" s="21" t="s">
        <v>162</v>
      </c>
      <c r="AB67" s="10" t="s">
        <v>162</v>
      </c>
      <c r="AC67" s="21" t="s">
        <v>162</v>
      </c>
      <c r="AD67" s="21" t="s">
        <v>162</v>
      </c>
      <c r="AE67" s="21" t="s">
        <v>162</v>
      </c>
      <c r="AF67" s="10" t="s">
        <v>162</v>
      </c>
      <c r="AG67" s="10" t="s">
        <v>162</v>
      </c>
      <c r="AH67" s="21" t="s">
        <v>162</v>
      </c>
      <c r="AI67" s="21" t="s">
        <v>162</v>
      </c>
      <c r="AJ67" s="21" t="s">
        <v>162</v>
      </c>
      <c r="AK67" s="21" t="s">
        <v>162</v>
      </c>
      <c r="AL67" s="21" t="s">
        <v>162</v>
      </c>
      <c r="AM67" s="21" t="s">
        <v>162</v>
      </c>
      <c r="AN67" s="21" t="s">
        <v>162</v>
      </c>
      <c r="AO67" s="10" t="s">
        <v>162</v>
      </c>
      <c r="AP67" s="21" t="s">
        <v>162</v>
      </c>
      <c r="AQ67" s="5" t="s">
        <v>417</v>
      </c>
      <c r="AR67" s="10" t="s">
        <v>542</v>
      </c>
      <c r="AS67" s="10" t="s">
        <v>162</v>
      </c>
      <c r="AT67" s="10" t="s">
        <v>543</v>
      </c>
      <c r="AU67" s="10" t="s">
        <v>544</v>
      </c>
      <c r="AV67" s="10" t="s">
        <v>162</v>
      </c>
      <c r="AW67" s="10"/>
    </row>
    <row r="68" spans="1:49">
      <c r="A68" s="10" t="s">
        <v>545</v>
      </c>
      <c r="B68" s="10" t="s">
        <v>162</v>
      </c>
      <c r="C68" s="10" t="s">
        <v>163</v>
      </c>
      <c r="D68" s="74">
        <v>44370</v>
      </c>
      <c r="E68" s="10" t="s">
        <v>546</v>
      </c>
      <c r="F68" s="75" t="str">
        <f>VLOOKUP($E68,'Item Classification'!B:C,2,0)</f>
        <v>Coastal trial support ship</v>
      </c>
      <c r="G68" s="10" t="str">
        <f>VLOOKUP($E68,'Item Classification'!B:D,3,0)</f>
        <v>Naval</v>
      </c>
      <c r="H68" s="76">
        <f>VLOOKUP($E68,'Item Classification'!B:E,4,0)</f>
        <v>12</v>
      </c>
      <c r="I68" s="81">
        <v>2</v>
      </c>
      <c r="J68" s="182">
        <f>M68/I68</f>
        <v>47500000</v>
      </c>
      <c r="K68" s="81">
        <v>2023</v>
      </c>
      <c r="L68" s="81">
        <v>2023</v>
      </c>
      <c r="M68" s="183">
        <v>95000000</v>
      </c>
      <c r="N68" s="10" t="s">
        <v>165</v>
      </c>
      <c r="O68" s="10" t="s">
        <v>162</v>
      </c>
      <c r="P68" s="10" t="s">
        <v>163</v>
      </c>
      <c r="Q68" s="77">
        <v>18</v>
      </c>
      <c r="R68" s="77">
        <v>0</v>
      </c>
      <c r="S68" s="77">
        <v>0</v>
      </c>
      <c r="T68" s="77">
        <v>0</v>
      </c>
      <c r="U68" s="77">
        <v>1</v>
      </c>
      <c r="V68" s="77">
        <v>1</v>
      </c>
      <c r="W68" s="77">
        <v>0</v>
      </c>
      <c r="X68" s="77">
        <v>1</v>
      </c>
      <c r="Y68" s="21" t="s">
        <v>547</v>
      </c>
      <c r="Z68" s="21" t="s">
        <v>163</v>
      </c>
      <c r="AA68" s="21" t="s">
        <v>163</v>
      </c>
      <c r="AB68" s="10" t="s">
        <v>162</v>
      </c>
      <c r="AC68" s="21" t="s">
        <v>162</v>
      </c>
      <c r="AD68" s="21" t="s">
        <v>162</v>
      </c>
      <c r="AE68" s="21" t="s">
        <v>162</v>
      </c>
      <c r="AF68" s="10" t="s">
        <v>162</v>
      </c>
      <c r="AG68" s="10" t="s">
        <v>162</v>
      </c>
      <c r="AH68" s="21" t="s">
        <v>162</v>
      </c>
      <c r="AI68" s="21" t="s">
        <v>162</v>
      </c>
      <c r="AJ68" s="21" t="s">
        <v>162</v>
      </c>
      <c r="AK68" s="21" t="s">
        <v>162</v>
      </c>
      <c r="AL68" s="21" t="s">
        <v>162</v>
      </c>
      <c r="AM68" s="21" t="s">
        <v>162</v>
      </c>
      <c r="AN68" s="21" t="s">
        <v>162</v>
      </c>
      <c r="AO68" s="10" t="s">
        <v>548</v>
      </c>
      <c r="AP68" s="21" t="s">
        <v>162</v>
      </c>
      <c r="AQ68" s="5" t="s">
        <v>417</v>
      </c>
      <c r="AR68" s="10" t="s">
        <v>549</v>
      </c>
      <c r="AS68" s="10" t="s">
        <v>550</v>
      </c>
      <c r="AT68" s="10" t="s">
        <v>551</v>
      </c>
      <c r="AU68" s="10" t="s">
        <v>552</v>
      </c>
      <c r="AV68" s="10" t="s">
        <v>553</v>
      </c>
      <c r="AW68" s="10" t="s">
        <v>162</v>
      </c>
    </row>
    <row r="69" spans="1:49">
      <c r="A69" s="10" t="s">
        <v>554</v>
      </c>
      <c r="B69" s="10" t="s">
        <v>162</v>
      </c>
      <c r="C69" s="10" t="s">
        <v>163</v>
      </c>
      <c r="D69" s="74">
        <v>44370</v>
      </c>
      <c r="E69" s="10" t="s">
        <v>555</v>
      </c>
      <c r="F69" s="75" t="str">
        <f>VLOOKUP($E69,'Item Classification'!B:C,2,0)</f>
        <v>Minehunter ship modernisation</v>
      </c>
      <c r="G69" s="10" t="str">
        <f>VLOOKUP($E69,'Item Classification'!B:D,3,0)</f>
        <v>Naval</v>
      </c>
      <c r="H69" s="76">
        <f>VLOOKUP($E69,'Item Classification'!B:E,4,0)</f>
        <v>12</v>
      </c>
      <c r="I69" s="81">
        <v>5</v>
      </c>
      <c r="J69" s="182">
        <f>M69/I69</f>
        <v>8800000</v>
      </c>
      <c r="K69" s="81">
        <v>2022</v>
      </c>
      <c r="L69" s="81">
        <v>2025</v>
      </c>
      <c r="M69" s="183">
        <v>44000000</v>
      </c>
      <c r="N69" s="10" t="s">
        <v>165</v>
      </c>
      <c r="O69" s="10" t="s">
        <v>162</v>
      </c>
      <c r="P69" s="10" t="s">
        <v>163</v>
      </c>
      <c r="Q69" s="77">
        <v>18</v>
      </c>
      <c r="R69" s="77">
        <v>0</v>
      </c>
      <c r="S69" s="77">
        <v>0</v>
      </c>
      <c r="T69" s="77">
        <v>0</v>
      </c>
      <c r="U69" s="77">
        <v>1</v>
      </c>
      <c r="V69" s="77">
        <v>0</v>
      </c>
      <c r="W69" s="77">
        <v>0</v>
      </c>
      <c r="X69" s="77">
        <v>0</v>
      </c>
      <c r="Y69" s="21" t="s">
        <v>260</v>
      </c>
      <c r="Z69" s="21" t="s">
        <v>163</v>
      </c>
      <c r="AA69" s="21" t="s">
        <v>162</v>
      </c>
      <c r="AB69" s="10" t="s">
        <v>162</v>
      </c>
      <c r="AC69" s="21" t="s">
        <v>162</v>
      </c>
      <c r="AD69" s="21" t="s">
        <v>162</v>
      </c>
      <c r="AE69" s="21" t="s">
        <v>162</v>
      </c>
      <c r="AF69" s="10" t="s">
        <v>162</v>
      </c>
      <c r="AG69" s="10" t="s">
        <v>162</v>
      </c>
      <c r="AH69" s="21" t="s">
        <v>162</v>
      </c>
      <c r="AI69" s="21" t="s">
        <v>162</v>
      </c>
      <c r="AJ69" s="21" t="s">
        <v>162</v>
      </c>
      <c r="AK69" s="21" t="s">
        <v>162</v>
      </c>
      <c r="AL69" s="21" t="s">
        <v>162</v>
      </c>
      <c r="AM69" s="21" t="s">
        <v>162</v>
      </c>
      <c r="AN69" s="21" t="s">
        <v>162</v>
      </c>
      <c r="AO69" s="10" t="s">
        <v>162</v>
      </c>
      <c r="AP69" s="21" t="s">
        <v>162</v>
      </c>
      <c r="AQ69" s="5" t="s">
        <v>417</v>
      </c>
      <c r="AR69" s="10" t="s">
        <v>556</v>
      </c>
      <c r="AS69" s="10" t="s">
        <v>467</v>
      </c>
      <c r="AT69" s="10" t="s">
        <v>557</v>
      </c>
      <c r="AU69" s="10" t="s">
        <v>558</v>
      </c>
      <c r="AV69" s="10" t="s">
        <v>162</v>
      </c>
      <c r="AW69" s="10"/>
    </row>
    <row r="70" spans="1:49">
      <c r="A70" s="10" t="s">
        <v>559</v>
      </c>
      <c r="B70" s="10" t="s">
        <v>162</v>
      </c>
      <c r="C70" s="10" t="s">
        <v>163</v>
      </c>
      <c r="D70" s="74">
        <v>44370</v>
      </c>
      <c r="E70" s="10" t="s">
        <v>560</v>
      </c>
      <c r="F70" s="75" t="str">
        <f>VLOOKUP($E70,'Item Classification'!B:C,2,0)</f>
        <v>Naval communication system</v>
      </c>
      <c r="G70" s="10" t="str">
        <f>VLOOKUP($E70,'Item Classification'!B:D,3,0)</f>
        <v>Naval</v>
      </c>
      <c r="H70" s="76">
        <f>VLOOKUP($E70,'Item Classification'!B:E,4,0)</f>
        <v>12</v>
      </c>
      <c r="I70" s="81">
        <v>16</v>
      </c>
      <c r="J70" s="182">
        <f>M70/I70</f>
        <v>4368750</v>
      </c>
      <c r="K70" s="81" t="s">
        <v>162</v>
      </c>
      <c r="L70" s="81" t="s">
        <v>162</v>
      </c>
      <c r="M70" s="183">
        <v>69900000</v>
      </c>
      <c r="N70" s="10" t="s">
        <v>165</v>
      </c>
      <c r="O70" s="10" t="s">
        <v>162</v>
      </c>
      <c r="P70" s="10" t="s">
        <v>163</v>
      </c>
      <c r="Q70" s="77">
        <v>18</v>
      </c>
      <c r="R70" s="77">
        <v>0</v>
      </c>
      <c r="S70" s="77">
        <v>0</v>
      </c>
      <c r="T70" s="77">
        <v>0</v>
      </c>
      <c r="U70" s="77">
        <v>1</v>
      </c>
      <c r="V70" s="77">
        <v>0</v>
      </c>
      <c r="W70" s="77">
        <v>0</v>
      </c>
      <c r="X70" s="77">
        <v>1</v>
      </c>
      <c r="Y70" s="21" t="s">
        <v>561</v>
      </c>
      <c r="Z70" s="21" t="s">
        <v>163</v>
      </c>
      <c r="AA70" s="21" t="s">
        <v>162</v>
      </c>
      <c r="AB70" s="10" t="s">
        <v>162</v>
      </c>
      <c r="AC70" s="21" t="s">
        <v>162</v>
      </c>
      <c r="AD70" s="21" t="s">
        <v>162</v>
      </c>
      <c r="AE70" s="21" t="s">
        <v>162</v>
      </c>
      <c r="AF70" s="10" t="s">
        <v>218</v>
      </c>
      <c r="AG70" s="10" t="s">
        <v>162</v>
      </c>
      <c r="AH70" s="21" t="s">
        <v>162</v>
      </c>
      <c r="AI70" s="21" t="s">
        <v>162</v>
      </c>
      <c r="AJ70" s="21" t="s">
        <v>162</v>
      </c>
      <c r="AK70" s="21" t="s">
        <v>162</v>
      </c>
      <c r="AL70" s="21" t="s">
        <v>162</v>
      </c>
      <c r="AM70" s="21" t="s">
        <v>162</v>
      </c>
      <c r="AN70" s="21" t="s">
        <v>162</v>
      </c>
      <c r="AO70" s="10" t="s">
        <v>162</v>
      </c>
      <c r="AP70" s="21" t="s">
        <v>162</v>
      </c>
      <c r="AQ70" s="5" t="s">
        <v>417</v>
      </c>
      <c r="AR70" s="10" t="s">
        <v>562</v>
      </c>
      <c r="AS70" s="10" t="s">
        <v>563</v>
      </c>
      <c r="AT70" s="10" t="s">
        <v>564</v>
      </c>
      <c r="AU70" s="10" t="s">
        <v>565</v>
      </c>
      <c r="AV70" s="10" t="s">
        <v>162</v>
      </c>
      <c r="AW70" s="10"/>
    </row>
    <row r="71" spans="1:49">
      <c r="A71" s="10" t="s">
        <v>566</v>
      </c>
      <c r="B71" s="10" t="s">
        <v>162</v>
      </c>
      <c r="C71" s="10" t="s">
        <v>163</v>
      </c>
      <c r="D71" s="74">
        <v>44370</v>
      </c>
      <c r="E71" s="10" t="s">
        <v>567</v>
      </c>
      <c r="F71" s="75" t="str">
        <f>VLOOKUP($E71,'Item Classification'!B:C,2,0)</f>
        <v>Naval radar navigation system</v>
      </c>
      <c r="G71" s="10" t="str">
        <f>VLOOKUP($E71,'Item Classification'!B:D,3,0)</f>
        <v>Naval</v>
      </c>
      <c r="H71" s="76">
        <f>VLOOKUP($E71,'Item Classification'!B:E,4,0)</f>
        <v>12</v>
      </c>
      <c r="I71" s="81">
        <v>40</v>
      </c>
      <c r="J71" s="182">
        <f>M71/I71</f>
        <v>999450</v>
      </c>
      <c r="K71" s="81" t="s">
        <v>162</v>
      </c>
      <c r="L71" s="81" t="s">
        <v>162</v>
      </c>
      <c r="M71" s="183">
        <v>39978000</v>
      </c>
      <c r="N71" s="10" t="s">
        <v>165</v>
      </c>
      <c r="O71" s="10" t="s">
        <v>162</v>
      </c>
      <c r="P71" s="10" t="s">
        <v>163</v>
      </c>
      <c r="Q71" s="77">
        <v>18</v>
      </c>
      <c r="R71" s="77">
        <v>0</v>
      </c>
      <c r="S71" s="77">
        <v>0</v>
      </c>
      <c r="T71" s="77">
        <v>0</v>
      </c>
      <c r="U71" s="77" t="s">
        <v>162</v>
      </c>
      <c r="V71" s="77" t="s">
        <v>162</v>
      </c>
      <c r="W71" s="77" t="s">
        <v>162</v>
      </c>
      <c r="X71" s="77" t="s">
        <v>162</v>
      </c>
      <c r="Y71" s="21" t="s">
        <v>162</v>
      </c>
      <c r="Z71" s="21" t="s">
        <v>162</v>
      </c>
      <c r="AA71" s="21" t="s">
        <v>162</v>
      </c>
      <c r="AB71" s="10" t="s">
        <v>162</v>
      </c>
      <c r="AC71" s="21" t="s">
        <v>162</v>
      </c>
      <c r="AD71" s="21" t="s">
        <v>162</v>
      </c>
      <c r="AE71" s="21" t="s">
        <v>162</v>
      </c>
      <c r="AF71" s="10" t="s">
        <v>162</v>
      </c>
      <c r="AG71" s="10" t="s">
        <v>162</v>
      </c>
      <c r="AH71" s="21" t="s">
        <v>162</v>
      </c>
      <c r="AI71" s="21" t="s">
        <v>162</v>
      </c>
      <c r="AJ71" s="21" t="s">
        <v>162</v>
      </c>
      <c r="AK71" s="21" t="s">
        <v>162</v>
      </c>
      <c r="AL71" s="21" t="s">
        <v>162</v>
      </c>
      <c r="AM71" s="21" t="s">
        <v>162</v>
      </c>
      <c r="AN71" s="21" t="s">
        <v>162</v>
      </c>
      <c r="AO71" s="10" t="s">
        <v>162</v>
      </c>
      <c r="AP71" s="21" t="s">
        <v>162</v>
      </c>
      <c r="AQ71" s="5" t="s">
        <v>417</v>
      </c>
      <c r="AR71" s="10" t="s">
        <v>467</v>
      </c>
      <c r="AS71" s="10" t="s">
        <v>568</v>
      </c>
      <c r="AT71" s="10" t="s">
        <v>569</v>
      </c>
      <c r="AU71" s="10" t="s">
        <v>570</v>
      </c>
      <c r="AV71" s="10" t="s">
        <v>162</v>
      </c>
      <c r="AW71" s="10"/>
    </row>
    <row r="72" spans="1:49">
      <c r="A72" s="10" t="s">
        <v>571</v>
      </c>
      <c r="B72" s="10" t="s">
        <v>162</v>
      </c>
      <c r="C72" s="10" t="s">
        <v>163</v>
      </c>
      <c r="D72" s="74">
        <v>44370</v>
      </c>
      <c r="E72" s="10" t="s">
        <v>572</v>
      </c>
      <c r="F72" s="75" t="str">
        <f>VLOOKUP($E72,'Item Classification'!B:C,2,0)</f>
        <v>Equipment for Small Arms and Light Weapons (SALW)</v>
      </c>
      <c r="G72" s="10" t="str">
        <f>VLOOKUP($E72,'Item Classification'!B:D,3,0)</f>
        <v>Infantry</v>
      </c>
      <c r="H72" s="76">
        <f>VLOOKUP($E72,'Item Classification'!B:E,4,0)</f>
        <v>8</v>
      </c>
      <c r="I72" s="81" t="s">
        <v>162</v>
      </c>
      <c r="J72" s="81" t="s">
        <v>162</v>
      </c>
      <c r="K72" s="81" t="s">
        <v>162</v>
      </c>
      <c r="L72" s="81" t="s">
        <v>162</v>
      </c>
      <c r="M72" s="81" t="s">
        <v>162</v>
      </c>
      <c r="N72" s="10" t="s">
        <v>165</v>
      </c>
      <c r="O72" s="10" t="s">
        <v>162</v>
      </c>
      <c r="P72" s="10" t="s">
        <v>163</v>
      </c>
      <c r="Q72" s="77">
        <v>18</v>
      </c>
      <c r="R72" s="77">
        <v>1</v>
      </c>
      <c r="S72" s="77">
        <v>0</v>
      </c>
      <c r="T72" s="77">
        <v>0</v>
      </c>
      <c r="U72" s="77">
        <v>1</v>
      </c>
      <c r="V72" s="77">
        <v>1</v>
      </c>
      <c r="W72" s="77">
        <v>1</v>
      </c>
      <c r="X72" s="77">
        <v>1</v>
      </c>
      <c r="Y72" s="21" t="s">
        <v>573</v>
      </c>
      <c r="Z72" s="21" t="s">
        <v>163</v>
      </c>
      <c r="AA72" s="21" t="s">
        <v>431</v>
      </c>
      <c r="AB72" s="10" t="s">
        <v>574</v>
      </c>
      <c r="AC72" s="21" t="s">
        <v>162</v>
      </c>
      <c r="AD72" s="21" t="s">
        <v>162</v>
      </c>
      <c r="AE72" s="21" t="s">
        <v>162</v>
      </c>
      <c r="AF72" s="10" t="s">
        <v>219</v>
      </c>
      <c r="AG72" s="10" t="s">
        <v>431</v>
      </c>
      <c r="AH72" s="21" t="s">
        <v>162</v>
      </c>
      <c r="AI72" s="21" t="s">
        <v>162</v>
      </c>
      <c r="AJ72" s="21" t="s">
        <v>162</v>
      </c>
      <c r="AK72" s="21" t="s">
        <v>162</v>
      </c>
      <c r="AL72" s="21" t="s">
        <v>162</v>
      </c>
      <c r="AM72" s="21" t="s">
        <v>162</v>
      </c>
      <c r="AN72" s="21" t="s">
        <v>162</v>
      </c>
      <c r="AO72" s="10" t="s">
        <v>162</v>
      </c>
      <c r="AP72" s="21" t="s">
        <v>162</v>
      </c>
      <c r="AQ72" s="5" t="s">
        <v>417</v>
      </c>
      <c r="AR72" s="10" t="s">
        <v>575</v>
      </c>
      <c r="AS72" s="10" t="s">
        <v>576</v>
      </c>
      <c r="AT72" s="10" t="s">
        <v>577</v>
      </c>
      <c r="AU72" s="10" t="s">
        <v>578</v>
      </c>
      <c r="AV72" s="10" t="s">
        <v>162</v>
      </c>
      <c r="AW72" s="10"/>
    </row>
    <row r="73" spans="1:49">
      <c r="A73" s="10" t="s">
        <v>579</v>
      </c>
      <c r="B73" s="10" t="s">
        <v>162</v>
      </c>
      <c r="C73" s="10" t="s">
        <v>163</v>
      </c>
      <c r="D73" s="74">
        <v>44370</v>
      </c>
      <c r="E73" s="10" t="s">
        <v>580</v>
      </c>
      <c r="F73" s="75" t="str">
        <f>VLOOKUP($E73,'Item Classification'!B:C,2,0)</f>
        <v>Equipment for Small Arms and Light Weapons (SALW)</v>
      </c>
      <c r="G73" s="10" t="str">
        <f>VLOOKUP($E73,'Item Classification'!B:D,3,0)</f>
        <v>Infantry</v>
      </c>
      <c r="H73" s="76">
        <f>VLOOKUP($E73,'Item Classification'!B:E,4,0)</f>
        <v>8</v>
      </c>
      <c r="I73" s="81">
        <v>2460</v>
      </c>
      <c r="J73" s="182">
        <f>M73/I73</f>
        <v>1219.5121951219512</v>
      </c>
      <c r="K73" s="81">
        <v>2021</v>
      </c>
      <c r="L73" s="81" t="s">
        <v>162</v>
      </c>
      <c r="M73" s="183">
        <v>3000000</v>
      </c>
      <c r="N73" s="10" t="s">
        <v>165</v>
      </c>
      <c r="O73" s="10" t="s">
        <v>162</v>
      </c>
      <c r="P73" s="10" t="s">
        <v>163</v>
      </c>
      <c r="Q73" s="77">
        <v>18</v>
      </c>
      <c r="R73" s="77">
        <v>1</v>
      </c>
      <c r="S73" s="77">
        <v>0</v>
      </c>
      <c r="T73" s="77">
        <v>0</v>
      </c>
      <c r="U73" s="77">
        <v>1</v>
      </c>
      <c r="V73" s="77">
        <v>0</v>
      </c>
      <c r="W73" s="77">
        <v>0</v>
      </c>
      <c r="X73" s="77">
        <v>0</v>
      </c>
      <c r="Y73" s="21" t="s">
        <v>268</v>
      </c>
      <c r="Z73" s="21" t="s">
        <v>163</v>
      </c>
      <c r="AA73" s="21" t="s">
        <v>163</v>
      </c>
      <c r="AB73" s="10" t="s">
        <v>162</v>
      </c>
      <c r="AC73" s="21" t="s">
        <v>162</v>
      </c>
      <c r="AD73" s="21" t="s">
        <v>162</v>
      </c>
      <c r="AE73" s="21" t="s">
        <v>162</v>
      </c>
      <c r="AF73" s="10" t="s">
        <v>162</v>
      </c>
      <c r="AG73" s="10" t="s">
        <v>162</v>
      </c>
      <c r="AH73" s="21" t="s">
        <v>162</v>
      </c>
      <c r="AI73" s="21" t="s">
        <v>162</v>
      </c>
      <c r="AJ73" s="21" t="s">
        <v>162</v>
      </c>
      <c r="AK73" s="21" t="s">
        <v>162</v>
      </c>
      <c r="AL73" s="21" t="s">
        <v>162</v>
      </c>
      <c r="AM73" s="21" t="s">
        <v>162</v>
      </c>
      <c r="AN73" s="21" t="s">
        <v>162</v>
      </c>
      <c r="AO73" s="10" t="s">
        <v>162</v>
      </c>
      <c r="AP73" s="21" t="s">
        <v>162</v>
      </c>
      <c r="AQ73" s="5" t="s">
        <v>417</v>
      </c>
      <c r="AR73" s="10" t="s">
        <v>581</v>
      </c>
      <c r="AS73" s="10" t="s">
        <v>582</v>
      </c>
      <c r="AT73" s="10" t="s">
        <v>577</v>
      </c>
      <c r="AU73" s="10" t="s">
        <v>583</v>
      </c>
      <c r="AV73" s="10" t="s">
        <v>162</v>
      </c>
      <c r="AW73" s="10"/>
    </row>
    <row r="74" spans="1:49">
      <c r="A74" s="10" t="s">
        <v>584</v>
      </c>
      <c r="B74" s="10" t="s">
        <v>162</v>
      </c>
      <c r="C74" s="10" t="s">
        <v>163</v>
      </c>
      <c r="D74" s="74">
        <v>44370</v>
      </c>
      <c r="E74" s="10" t="s">
        <v>585</v>
      </c>
      <c r="F74" s="75" t="str">
        <f>VLOOKUP($E74,'Item Classification'!B:C,2,0)</f>
        <v>Ammunition equipment</v>
      </c>
      <c r="G74" s="10" t="str">
        <f>VLOOKUP($E74,'Item Classification'!B:D,3,0)</f>
        <v>Ammunition</v>
      </c>
      <c r="H74" s="76">
        <f>VLOOKUP($E74,'Item Classification'!B:E,4,0)</f>
        <v>4</v>
      </c>
      <c r="I74" s="81" t="s">
        <v>162</v>
      </c>
      <c r="J74" s="81" t="s">
        <v>162</v>
      </c>
      <c r="K74" s="81" t="s">
        <v>162</v>
      </c>
      <c r="L74" s="81" t="s">
        <v>162</v>
      </c>
      <c r="M74" s="184">
        <v>52000000</v>
      </c>
      <c r="N74" s="10" t="s">
        <v>165</v>
      </c>
      <c r="O74" s="10" t="s">
        <v>162</v>
      </c>
      <c r="P74" s="10" t="s">
        <v>163</v>
      </c>
      <c r="Q74" s="77">
        <v>18</v>
      </c>
      <c r="R74" s="77">
        <v>0</v>
      </c>
      <c r="S74" s="77">
        <v>0</v>
      </c>
      <c r="T74" s="77">
        <v>0</v>
      </c>
      <c r="U74" s="77" t="s">
        <v>162</v>
      </c>
      <c r="V74" s="77" t="s">
        <v>162</v>
      </c>
      <c r="W74" s="77" t="s">
        <v>162</v>
      </c>
      <c r="X74" s="77" t="s">
        <v>162</v>
      </c>
      <c r="Y74" s="21" t="s">
        <v>162</v>
      </c>
      <c r="Z74" s="21" t="s">
        <v>162</v>
      </c>
      <c r="AA74" s="21" t="s">
        <v>162</v>
      </c>
      <c r="AB74" s="10" t="s">
        <v>162</v>
      </c>
      <c r="AC74" s="21" t="s">
        <v>162</v>
      </c>
      <c r="AD74" s="21" t="s">
        <v>162</v>
      </c>
      <c r="AE74" s="21" t="s">
        <v>162</v>
      </c>
      <c r="AF74" s="10" t="s">
        <v>162</v>
      </c>
      <c r="AG74" s="10" t="s">
        <v>162</v>
      </c>
      <c r="AH74" s="21" t="s">
        <v>162</v>
      </c>
      <c r="AI74" s="21" t="s">
        <v>162</v>
      </c>
      <c r="AJ74" s="21" t="s">
        <v>162</v>
      </c>
      <c r="AK74" s="21" t="s">
        <v>162</v>
      </c>
      <c r="AL74" s="21" t="s">
        <v>162</v>
      </c>
      <c r="AM74" s="21" t="s">
        <v>162</v>
      </c>
      <c r="AN74" s="21" t="s">
        <v>162</v>
      </c>
      <c r="AO74" s="10" t="s">
        <v>162</v>
      </c>
      <c r="AP74" s="21" t="s">
        <v>162</v>
      </c>
      <c r="AQ74" s="5" t="s">
        <v>417</v>
      </c>
      <c r="AR74" s="10" t="s">
        <v>586</v>
      </c>
      <c r="AS74" s="10" t="s">
        <v>587</v>
      </c>
      <c r="AT74" s="10" t="s">
        <v>588</v>
      </c>
      <c r="AU74" s="10" t="s">
        <v>589</v>
      </c>
      <c r="AV74" s="10" t="s">
        <v>162</v>
      </c>
      <c r="AW74" s="10"/>
    </row>
    <row r="75" spans="1:49">
      <c r="A75" s="10" t="s">
        <v>590</v>
      </c>
      <c r="B75" s="10" t="s">
        <v>162</v>
      </c>
      <c r="C75" s="10" t="s">
        <v>163</v>
      </c>
      <c r="D75" s="74">
        <v>44370</v>
      </c>
      <c r="E75" s="10" t="s">
        <v>591</v>
      </c>
      <c r="F75" s="75" t="str">
        <f>VLOOKUP($E75,'Item Classification'!B:C,2,0)</f>
        <v>Airforce operational readiness</v>
      </c>
      <c r="G75" s="10" t="str">
        <f>VLOOKUP($E75,'Item Classification'!B:D,3,0)</f>
        <v>Aircraft</v>
      </c>
      <c r="H75" s="76">
        <f>VLOOKUP($E75,'Item Classification'!B:E,4,0)</f>
        <v>11</v>
      </c>
      <c r="I75" s="81">
        <v>5</v>
      </c>
      <c r="J75" s="182">
        <f>M75/I75</f>
        <v>41200000</v>
      </c>
      <c r="K75" s="81">
        <v>2022</v>
      </c>
      <c r="L75" s="81">
        <v>2026</v>
      </c>
      <c r="M75" s="183">
        <v>206000000</v>
      </c>
      <c r="N75" s="10" t="s">
        <v>165</v>
      </c>
      <c r="O75" s="10" t="s">
        <v>162</v>
      </c>
      <c r="P75" s="10" t="s">
        <v>163</v>
      </c>
      <c r="Q75" s="77">
        <v>18</v>
      </c>
      <c r="R75" s="77">
        <v>1</v>
      </c>
      <c r="S75" s="77">
        <v>1</v>
      </c>
      <c r="T75" s="77">
        <v>0</v>
      </c>
      <c r="U75" s="77">
        <v>1</v>
      </c>
      <c r="V75" s="77">
        <v>0</v>
      </c>
      <c r="W75" s="77">
        <v>1</v>
      </c>
      <c r="X75" s="77">
        <v>0</v>
      </c>
      <c r="Y75" s="21" t="s">
        <v>592</v>
      </c>
      <c r="Z75" s="21" t="s">
        <v>163</v>
      </c>
      <c r="AA75" s="21" t="s">
        <v>162</v>
      </c>
      <c r="AB75" s="10" t="s">
        <v>162</v>
      </c>
      <c r="AC75" s="21" t="s">
        <v>162</v>
      </c>
      <c r="AD75" s="21" t="s">
        <v>162</v>
      </c>
      <c r="AE75" s="21" t="s">
        <v>162</v>
      </c>
      <c r="AF75" s="10" t="s">
        <v>162</v>
      </c>
      <c r="AG75" s="10" t="s">
        <v>162</v>
      </c>
      <c r="AH75" s="21" t="s">
        <v>162</v>
      </c>
      <c r="AI75" s="21" t="s">
        <v>162</v>
      </c>
      <c r="AJ75" s="21" t="s">
        <v>162</v>
      </c>
      <c r="AK75" s="21" t="s">
        <v>162</v>
      </c>
      <c r="AL75" s="21" t="s">
        <v>162</v>
      </c>
      <c r="AM75" s="21" t="s">
        <v>162</v>
      </c>
      <c r="AN75" s="21" t="s">
        <v>162</v>
      </c>
      <c r="AO75" s="10" t="s">
        <v>162</v>
      </c>
      <c r="AP75" s="21" t="s">
        <v>162</v>
      </c>
      <c r="AQ75" s="5" t="s">
        <v>417</v>
      </c>
      <c r="AR75" s="10" t="s">
        <v>593</v>
      </c>
      <c r="AS75" s="10" t="s">
        <v>594</v>
      </c>
      <c r="AT75" s="10" t="s">
        <v>595</v>
      </c>
      <c r="AU75" s="10" t="s">
        <v>596</v>
      </c>
      <c r="AV75" s="10" t="s">
        <v>162</v>
      </c>
      <c r="AW75" s="10"/>
    </row>
    <row r="76" spans="1:49">
      <c r="A76" s="10" t="s">
        <v>597</v>
      </c>
      <c r="B76" s="10" t="s">
        <v>162</v>
      </c>
      <c r="C76" s="10" t="s">
        <v>163</v>
      </c>
      <c r="D76" s="74">
        <v>44370</v>
      </c>
      <c r="E76" s="10" t="s">
        <v>162</v>
      </c>
      <c r="F76" s="75" t="s">
        <v>598</v>
      </c>
      <c r="G76" s="10" t="s">
        <v>599</v>
      </c>
      <c r="H76" s="76">
        <v>10</v>
      </c>
      <c r="I76" s="81" t="s">
        <v>162</v>
      </c>
      <c r="J76" s="81" t="s">
        <v>162</v>
      </c>
      <c r="K76" s="81" t="s">
        <v>162</v>
      </c>
      <c r="L76" s="81" t="s">
        <v>162</v>
      </c>
      <c r="M76" s="183">
        <v>116000000</v>
      </c>
      <c r="N76" s="10" t="s">
        <v>165</v>
      </c>
      <c r="O76" s="10" t="s">
        <v>162</v>
      </c>
      <c r="P76" s="10" t="s">
        <v>163</v>
      </c>
      <c r="Q76" s="77">
        <v>18</v>
      </c>
      <c r="R76" s="77">
        <v>0</v>
      </c>
      <c r="S76" s="77">
        <v>0</v>
      </c>
      <c r="T76" s="77">
        <v>0</v>
      </c>
      <c r="U76" s="77" t="s">
        <v>162</v>
      </c>
      <c r="V76" s="77" t="s">
        <v>162</v>
      </c>
      <c r="W76" s="77" t="s">
        <v>162</v>
      </c>
      <c r="X76" s="77">
        <v>1</v>
      </c>
      <c r="Y76" s="21" t="s">
        <v>162</v>
      </c>
      <c r="Z76" s="21" t="s">
        <v>163</v>
      </c>
      <c r="AA76" s="21" t="s">
        <v>162</v>
      </c>
      <c r="AB76" s="21" t="s">
        <v>162</v>
      </c>
      <c r="AC76" s="21" t="s">
        <v>162</v>
      </c>
      <c r="AD76" s="21" t="s">
        <v>162</v>
      </c>
      <c r="AE76" s="21" t="s">
        <v>162</v>
      </c>
      <c r="AF76" s="21" t="s">
        <v>218</v>
      </c>
      <c r="AG76" s="21" t="s">
        <v>162</v>
      </c>
      <c r="AH76" s="21" t="s">
        <v>162</v>
      </c>
      <c r="AI76" s="21" t="s">
        <v>162</v>
      </c>
      <c r="AJ76" s="21" t="s">
        <v>162</v>
      </c>
      <c r="AK76" s="21" t="s">
        <v>162</v>
      </c>
      <c r="AL76" s="21" t="s">
        <v>162</v>
      </c>
      <c r="AM76" s="21" t="s">
        <v>162</v>
      </c>
      <c r="AN76" s="21" t="s">
        <v>162</v>
      </c>
      <c r="AO76" s="21" t="s">
        <v>162</v>
      </c>
      <c r="AP76" s="21" t="s">
        <v>162</v>
      </c>
      <c r="AQ76" s="5" t="s">
        <v>417</v>
      </c>
      <c r="AR76" s="10" t="s">
        <v>600</v>
      </c>
      <c r="AS76" s="10" t="s">
        <v>601</v>
      </c>
      <c r="AT76" s="10" t="s">
        <v>602</v>
      </c>
      <c r="AU76" s="10" t="s">
        <v>603</v>
      </c>
      <c r="AV76" s="10" t="s">
        <v>604</v>
      </c>
      <c r="AW76" s="10" t="s">
        <v>162</v>
      </c>
    </row>
    <row r="77" spans="1:49">
      <c r="A77" s="10" t="s">
        <v>605</v>
      </c>
      <c r="B77" s="10" t="s">
        <v>162</v>
      </c>
      <c r="C77" s="10" t="s">
        <v>163</v>
      </c>
      <c r="D77" s="74">
        <v>44370</v>
      </c>
      <c r="E77" s="10" t="s">
        <v>606</v>
      </c>
      <c r="F77" s="75" t="str">
        <f>VLOOKUP($E77,'Item Classification'!B:C,2,0)</f>
        <v>Helicopter weapons system</v>
      </c>
      <c r="G77" s="10" t="str">
        <f>VLOOKUP($E77,'Item Classification'!B:D,3,0)</f>
        <v>Helicopter</v>
      </c>
      <c r="H77" s="76">
        <f>VLOOKUP($E77,'Item Classification'!B:E,4,0)</f>
        <v>10</v>
      </c>
      <c r="I77" s="81" t="s">
        <v>162</v>
      </c>
      <c r="J77" s="81" t="s">
        <v>162</v>
      </c>
      <c r="K77" s="81" t="s">
        <v>162</v>
      </c>
      <c r="L77" s="81" t="s">
        <v>162</v>
      </c>
      <c r="M77" s="81" t="s">
        <v>162</v>
      </c>
      <c r="N77" s="10" t="s">
        <v>165</v>
      </c>
      <c r="O77" s="10" t="s">
        <v>162</v>
      </c>
      <c r="P77" s="10" t="s">
        <v>163</v>
      </c>
      <c r="Q77" s="77">
        <v>18</v>
      </c>
      <c r="R77" s="77">
        <v>0</v>
      </c>
      <c r="S77" s="77">
        <v>0</v>
      </c>
      <c r="T77" s="77">
        <v>0</v>
      </c>
      <c r="U77" s="77">
        <v>1</v>
      </c>
      <c r="V77" s="77">
        <v>0</v>
      </c>
      <c r="W77" s="77">
        <v>0</v>
      </c>
      <c r="X77" s="77">
        <v>0</v>
      </c>
      <c r="Y77" s="21" t="s">
        <v>607</v>
      </c>
      <c r="Z77" s="21" t="s">
        <v>163</v>
      </c>
      <c r="AA77" s="21" t="s">
        <v>162</v>
      </c>
      <c r="AB77" s="10" t="s">
        <v>162</v>
      </c>
      <c r="AC77" s="21" t="s">
        <v>162</v>
      </c>
      <c r="AD77" s="21" t="s">
        <v>162</v>
      </c>
      <c r="AE77" s="21" t="s">
        <v>162</v>
      </c>
      <c r="AF77" s="10" t="s">
        <v>162</v>
      </c>
      <c r="AG77" s="10" t="s">
        <v>162</v>
      </c>
      <c r="AH77" s="21" t="s">
        <v>162</v>
      </c>
      <c r="AI77" s="21" t="s">
        <v>162</v>
      </c>
      <c r="AJ77" s="21" t="s">
        <v>162</v>
      </c>
      <c r="AK77" s="21" t="s">
        <v>162</v>
      </c>
      <c r="AL77" s="21" t="s">
        <v>162</v>
      </c>
      <c r="AM77" s="21" t="s">
        <v>162</v>
      </c>
      <c r="AN77" s="21" t="s">
        <v>162</v>
      </c>
      <c r="AO77" s="10" t="s">
        <v>162</v>
      </c>
      <c r="AP77" s="21" t="s">
        <v>162</v>
      </c>
      <c r="AQ77" s="5" t="s">
        <v>417</v>
      </c>
      <c r="AR77" s="10" t="s">
        <v>600</v>
      </c>
      <c r="AS77" s="10" t="s">
        <v>601</v>
      </c>
      <c r="AT77" s="10" t="s">
        <v>602</v>
      </c>
      <c r="AU77" s="10" t="s">
        <v>603</v>
      </c>
      <c r="AV77" s="10" t="s">
        <v>604</v>
      </c>
      <c r="AW77" s="10" t="s">
        <v>162</v>
      </c>
    </row>
    <row r="78" spans="1:49">
      <c r="A78" s="10" t="s">
        <v>608</v>
      </c>
      <c r="B78" s="10" t="s">
        <v>162</v>
      </c>
      <c r="C78" s="10" t="s">
        <v>163</v>
      </c>
      <c r="D78" s="74">
        <v>44370</v>
      </c>
      <c r="E78" s="10" t="s">
        <v>609</v>
      </c>
      <c r="F78" s="75" t="str">
        <f>VLOOKUP($E78,'Item Classification'!B:C,2,0)</f>
        <v>Helicopter communication system</v>
      </c>
      <c r="G78" s="10" t="str">
        <f>VLOOKUP($E78,'Item Classification'!B:D,3,0)</f>
        <v>Helicopter</v>
      </c>
      <c r="H78" s="76">
        <f>VLOOKUP($E78,'Item Classification'!B:E,4,0)</f>
        <v>10</v>
      </c>
      <c r="I78" s="81" t="s">
        <v>162</v>
      </c>
      <c r="J78" s="81" t="s">
        <v>162</v>
      </c>
      <c r="K78" s="81" t="s">
        <v>162</v>
      </c>
      <c r="L78" s="81" t="s">
        <v>162</v>
      </c>
      <c r="M78" s="81" t="s">
        <v>162</v>
      </c>
      <c r="N78" s="10" t="s">
        <v>165</v>
      </c>
      <c r="O78" s="10" t="s">
        <v>162</v>
      </c>
      <c r="P78" s="10" t="s">
        <v>163</v>
      </c>
      <c r="Q78" s="77">
        <v>18</v>
      </c>
      <c r="R78" s="77">
        <v>0</v>
      </c>
      <c r="S78" s="77">
        <v>0</v>
      </c>
      <c r="T78" s="77">
        <v>0</v>
      </c>
      <c r="U78" s="77">
        <v>0</v>
      </c>
      <c r="V78" s="77">
        <v>0</v>
      </c>
      <c r="W78" s="77">
        <v>0</v>
      </c>
      <c r="X78" s="77">
        <v>0</v>
      </c>
      <c r="Y78" s="21" t="s">
        <v>610</v>
      </c>
      <c r="Z78" s="21" t="s">
        <v>218</v>
      </c>
      <c r="AA78" s="21" t="s">
        <v>162</v>
      </c>
      <c r="AB78" s="10" t="s">
        <v>162</v>
      </c>
      <c r="AC78" s="21" t="s">
        <v>162</v>
      </c>
      <c r="AD78" s="21" t="s">
        <v>162</v>
      </c>
      <c r="AE78" s="21" t="s">
        <v>162</v>
      </c>
      <c r="AF78" s="10" t="s">
        <v>162</v>
      </c>
      <c r="AG78" s="10" t="s">
        <v>162</v>
      </c>
      <c r="AH78" s="21" t="s">
        <v>162</v>
      </c>
      <c r="AI78" s="21" t="s">
        <v>162</v>
      </c>
      <c r="AJ78" s="21" t="s">
        <v>162</v>
      </c>
      <c r="AK78" s="21" t="s">
        <v>162</v>
      </c>
      <c r="AL78" s="21" t="s">
        <v>162</v>
      </c>
      <c r="AM78" s="21" t="s">
        <v>162</v>
      </c>
      <c r="AN78" s="21" t="s">
        <v>162</v>
      </c>
      <c r="AO78" s="10" t="s">
        <v>162</v>
      </c>
      <c r="AP78" s="21" t="s">
        <v>162</v>
      </c>
      <c r="AQ78" s="5" t="s">
        <v>417</v>
      </c>
      <c r="AR78" s="10" t="s">
        <v>600</v>
      </c>
      <c r="AS78" s="10" t="s">
        <v>601</v>
      </c>
      <c r="AT78" s="10" t="s">
        <v>602</v>
      </c>
      <c r="AU78" s="10" t="s">
        <v>603</v>
      </c>
      <c r="AV78" s="10" t="s">
        <v>604</v>
      </c>
      <c r="AW78" s="10" t="s">
        <v>162</v>
      </c>
    </row>
    <row r="79" spans="1:49">
      <c r="A79" s="10" t="s">
        <v>611</v>
      </c>
      <c r="B79" s="10" t="s">
        <v>612</v>
      </c>
      <c r="C79" s="10" t="s">
        <v>163</v>
      </c>
      <c r="D79" s="74">
        <v>44370</v>
      </c>
      <c r="E79" s="10" t="s">
        <v>162</v>
      </c>
      <c r="F79" s="75" t="s">
        <v>613</v>
      </c>
      <c r="G79" s="10" t="s">
        <v>296</v>
      </c>
      <c r="H79" s="76">
        <v>16</v>
      </c>
      <c r="I79" s="81" t="s">
        <v>162</v>
      </c>
      <c r="J79" s="81" t="s">
        <v>162</v>
      </c>
      <c r="K79" s="81">
        <v>2022</v>
      </c>
      <c r="L79" s="81" t="s">
        <v>162</v>
      </c>
      <c r="M79" s="183">
        <v>24000000</v>
      </c>
      <c r="N79" s="10" t="s">
        <v>165</v>
      </c>
      <c r="O79" s="10" t="s">
        <v>162</v>
      </c>
      <c r="P79" s="10" t="s">
        <v>163</v>
      </c>
      <c r="Q79" s="77">
        <v>18</v>
      </c>
      <c r="R79" s="77">
        <v>1</v>
      </c>
      <c r="S79" s="77">
        <v>0</v>
      </c>
      <c r="T79" s="77">
        <v>0</v>
      </c>
      <c r="U79" s="77">
        <v>1</v>
      </c>
      <c r="V79" s="77">
        <v>0</v>
      </c>
      <c r="W79" s="77">
        <v>0</v>
      </c>
      <c r="X79" s="77">
        <v>0</v>
      </c>
      <c r="Y79" s="10" t="s">
        <v>614</v>
      </c>
      <c r="Z79" s="21" t="s">
        <v>181</v>
      </c>
      <c r="AA79" s="21" t="s">
        <v>162</v>
      </c>
      <c r="AB79" s="21" t="s">
        <v>162</v>
      </c>
      <c r="AC79" s="21" t="s">
        <v>162</v>
      </c>
      <c r="AD79" s="21" t="s">
        <v>162</v>
      </c>
      <c r="AE79" s="21" t="s">
        <v>162</v>
      </c>
      <c r="AF79" s="21" t="s">
        <v>162</v>
      </c>
      <c r="AG79" s="21" t="s">
        <v>162</v>
      </c>
      <c r="AH79" s="21" t="s">
        <v>162</v>
      </c>
      <c r="AI79" s="21" t="s">
        <v>162</v>
      </c>
      <c r="AJ79" s="21" t="s">
        <v>162</v>
      </c>
      <c r="AK79" s="21" t="s">
        <v>162</v>
      </c>
      <c r="AL79" s="21" t="s">
        <v>162</v>
      </c>
      <c r="AM79" s="21" t="s">
        <v>162</v>
      </c>
      <c r="AN79" s="21" t="s">
        <v>162</v>
      </c>
      <c r="AO79" s="21" t="s">
        <v>162</v>
      </c>
      <c r="AP79" s="21" t="s">
        <v>162</v>
      </c>
      <c r="AQ79" s="5" t="s">
        <v>417</v>
      </c>
      <c r="AR79" s="10" t="s">
        <v>615</v>
      </c>
      <c r="AS79" s="10" t="s">
        <v>616</v>
      </c>
      <c r="AT79" s="10" t="s">
        <v>617</v>
      </c>
      <c r="AU79" s="10" t="s">
        <v>618</v>
      </c>
      <c r="AV79" s="10" t="s">
        <v>162</v>
      </c>
      <c r="AW79" s="10"/>
    </row>
    <row r="80" spans="1:49">
      <c r="A80" s="10" t="s">
        <v>619</v>
      </c>
      <c r="B80" s="10" t="s">
        <v>612</v>
      </c>
      <c r="C80" s="10" t="s">
        <v>163</v>
      </c>
      <c r="D80" s="74">
        <v>44370</v>
      </c>
      <c r="E80" s="10" t="s">
        <v>620</v>
      </c>
      <c r="F80" s="75" t="str">
        <f>VLOOKUP($E80,'Item Classification'!B:C,2,0)</f>
        <v>Military equipment</v>
      </c>
      <c r="G80" s="10" t="str">
        <f>VLOOKUP($E80,'Item Classification'!B:D,3,0)</f>
        <v>Other</v>
      </c>
      <c r="H80" s="76">
        <f>VLOOKUP($E80,'Item Classification'!B:E,4,0)</f>
        <v>16</v>
      </c>
      <c r="I80" s="81">
        <v>1662</v>
      </c>
      <c r="J80" s="81" t="s">
        <v>162</v>
      </c>
      <c r="K80" s="81">
        <v>2022</v>
      </c>
      <c r="L80" s="81" t="s">
        <v>162</v>
      </c>
      <c r="M80" s="81" t="s">
        <v>162</v>
      </c>
      <c r="N80" s="10" t="s">
        <v>165</v>
      </c>
      <c r="O80" s="10" t="s">
        <v>162</v>
      </c>
      <c r="P80" s="10" t="s">
        <v>163</v>
      </c>
      <c r="Q80" s="77">
        <v>18</v>
      </c>
      <c r="R80" s="77">
        <v>1</v>
      </c>
      <c r="S80" s="77">
        <v>0</v>
      </c>
      <c r="T80" s="77">
        <v>0</v>
      </c>
      <c r="U80" s="77">
        <v>1</v>
      </c>
      <c r="V80" s="77">
        <v>0</v>
      </c>
      <c r="W80" s="77">
        <v>0</v>
      </c>
      <c r="X80" s="77">
        <v>0</v>
      </c>
      <c r="Y80" s="10" t="s">
        <v>614</v>
      </c>
      <c r="Z80" s="21" t="s">
        <v>181</v>
      </c>
      <c r="AA80" s="21" t="s">
        <v>162</v>
      </c>
      <c r="AB80" s="21" t="s">
        <v>162</v>
      </c>
      <c r="AC80" s="21" t="s">
        <v>162</v>
      </c>
      <c r="AD80" s="21" t="s">
        <v>162</v>
      </c>
      <c r="AE80" s="21" t="s">
        <v>162</v>
      </c>
      <c r="AF80" s="21" t="s">
        <v>162</v>
      </c>
      <c r="AG80" s="21" t="s">
        <v>162</v>
      </c>
      <c r="AH80" s="21" t="s">
        <v>162</v>
      </c>
      <c r="AI80" s="21" t="s">
        <v>162</v>
      </c>
      <c r="AJ80" s="21" t="s">
        <v>162</v>
      </c>
      <c r="AK80" s="21" t="s">
        <v>162</v>
      </c>
      <c r="AL80" s="21" t="s">
        <v>162</v>
      </c>
      <c r="AM80" s="21" t="s">
        <v>162</v>
      </c>
      <c r="AN80" s="21" t="s">
        <v>162</v>
      </c>
      <c r="AO80" s="21" t="s">
        <v>162</v>
      </c>
      <c r="AP80" s="21" t="s">
        <v>162</v>
      </c>
      <c r="AQ80" s="5" t="s">
        <v>417</v>
      </c>
      <c r="AR80" s="10" t="s">
        <v>615</v>
      </c>
      <c r="AS80" s="10" t="s">
        <v>616</v>
      </c>
      <c r="AT80" s="10" t="s">
        <v>617</v>
      </c>
      <c r="AU80" s="10" t="s">
        <v>618</v>
      </c>
      <c r="AV80" s="10" t="s">
        <v>162</v>
      </c>
      <c r="AW80" s="10"/>
    </row>
    <row r="81" spans="1:49">
      <c r="A81" s="10" t="s">
        <v>621</v>
      </c>
      <c r="B81" s="10" t="s">
        <v>612</v>
      </c>
      <c r="C81" s="10" t="s">
        <v>163</v>
      </c>
      <c r="D81" s="74">
        <v>44370</v>
      </c>
      <c r="E81" s="10" t="s">
        <v>622</v>
      </c>
      <c r="F81" s="75" t="str">
        <f>VLOOKUP($E81,'Item Classification'!B:C,2,0)</f>
        <v>Military equipment</v>
      </c>
      <c r="G81" s="10" t="str">
        <f>VLOOKUP($E81,'Item Classification'!B:D,3,0)</f>
        <v>Other</v>
      </c>
      <c r="H81" s="76">
        <f>VLOOKUP($E81,'Item Classification'!B:E,4,0)</f>
        <v>16</v>
      </c>
      <c r="I81" s="81">
        <v>1162</v>
      </c>
      <c r="J81" s="81" t="s">
        <v>162</v>
      </c>
      <c r="K81" s="81">
        <v>2022</v>
      </c>
      <c r="L81" s="81" t="s">
        <v>162</v>
      </c>
      <c r="M81" s="81" t="s">
        <v>162</v>
      </c>
      <c r="N81" s="10" t="s">
        <v>165</v>
      </c>
      <c r="O81" s="10" t="s">
        <v>162</v>
      </c>
      <c r="P81" s="10" t="s">
        <v>163</v>
      </c>
      <c r="Q81" s="77">
        <v>18</v>
      </c>
      <c r="R81" s="77">
        <v>1</v>
      </c>
      <c r="S81" s="77">
        <v>0</v>
      </c>
      <c r="T81" s="77">
        <v>0</v>
      </c>
      <c r="U81" s="77">
        <v>1</v>
      </c>
      <c r="V81" s="77">
        <v>0</v>
      </c>
      <c r="W81" s="77">
        <v>0</v>
      </c>
      <c r="X81" s="77">
        <v>0</v>
      </c>
      <c r="Y81" s="10" t="s">
        <v>614</v>
      </c>
      <c r="Z81" s="21" t="s">
        <v>181</v>
      </c>
      <c r="AA81" s="21" t="s">
        <v>162</v>
      </c>
      <c r="AB81" s="21" t="s">
        <v>162</v>
      </c>
      <c r="AC81" s="21" t="s">
        <v>162</v>
      </c>
      <c r="AD81" s="21" t="s">
        <v>162</v>
      </c>
      <c r="AE81" s="21" t="s">
        <v>162</v>
      </c>
      <c r="AF81" s="21" t="s">
        <v>162</v>
      </c>
      <c r="AG81" s="21" t="s">
        <v>162</v>
      </c>
      <c r="AH81" s="21" t="s">
        <v>162</v>
      </c>
      <c r="AI81" s="21" t="s">
        <v>162</v>
      </c>
      <c r="AJ81" s="21" t="s">
        <v>162</v>
      </c>
      <c r="AK81" s="21" t="s">
        <v>162</v>
      </c>
      <c r="AL81" s="21" t="s">
        <v>162</v>
      </c>
      <c r="AM81" s="21" t="s">
        <v>162</v>
      </c>
      <c r="AN81" s="21" t="s">
        <v>162</v>
      </c>
      <c r="AO81" s="21" t="s">
        <v>162</v>
      </c>
      <c r="AP81" s="21" t="s">
        <v>162</v>
      </c>
      <c r="AQ81" s="5" t="s">
        <v>417</v>
      </c>
      <c r="AR81" s="10" t="s">
        <v>615</v>
      </c>
      <c r="AS81" s="10" t="s">
        <v>616</v>
      </c>
      <c r="AT81" s="10" t="s">
        <v>617</v>
      </c>
      <c r="AU81" s="10" t="s">
        <v>618</v>
      </c>
      <c r="AV81" s="10" t="s">
        <v>162</v>
      </c>
      <c r="AW81" s="10"/>
    </row>
    <row r="82" spans="1:49">
      <c r="A82" s="10" t="s">
        <v>623</v>
      </c>
      <c r="B82" s="10" t="s">
        <v>162</v>
      </c>
      <c r="C82" s="10" t="s">
        <v>163</v>
      </c>
      <c r="D82" s="74">
        <v>44657</v>
      </c>
      <c r="E82" s="10" t="s">
        <v>624</v>
      </c>
      <c r="F82" s="75" t="str">
        <f>VLOOKUP($E82,'Item Classification'!B:C,2,0)</f>
        <v>Guided missile for medium-altitude long-endurance (MALE) unmanned aerial vehicle (UAV)</v>
      </c>
      <c r="G82" s="10" t="str">
        <f>VLOOKUP($E82,'Item Classification'!B:D,3,0)</f>
        <v>Missile (Land)</v>
      </c>
      <c r="H82" s="76">
        <f>VLOOKUP($E82,'Item Classification'!B:E,4,0)</f>
        <v>6</v>
      </c>
      <c r="I82" s="81" t="s">
        <v>162</v>
      </c>
      <c r="J82" s="81" t="s">
        <v>162</v>
      </c>
      <c r="K82" s="81" t="s">
        <v>162</v>
      </c>
      <c r="L82" s="81" t="s">
        <v>162</v>
      </c>
      <c r="M82" s="183">
        <v>150000000</v>
      </c>
      <c r="N82" s="10" t="s">
        <v>165</v>
      </c>
      <c r="O82" s="10" t="s">
        <v>162</v>
      </c>
      <c r="P82" s="10" t="s">
        <v>163</v>
      </c>
      <c r="Q82" s="77">
        <v>28</v>
      </c>
      <c r="R82" s="77">
        <v>0</v>
      </c>
      <c r="S82" s="77">
        <v>0</v>
      </c>
      <c r="T82" s="77">
        <v>0</v>
      </c>
      <c r="U82" s="77">
        <v>0</v>
      </c>
      <c r="V82" s="77">
        <v>0</v>
      </c>
      <c r="W82" s="77">
        <v>0</v>
      </c>
      <c r="X82" s="77">
        <v>0</v>
      </c>
      <c r="Y82" s="10" t="s">
        <v>166</v>
      </c>
      <c r="Z82" s="10" t="s">
        <v>167</v>
      </c>
      <c r="AA82" s="10" t="s">
        <v>162</v>
      </c>
      <c r="AB82" s="10" t="s">
        <v>162</v>
      </c>
      <c r="AC82" s="21" t="s">
        <v>162</v>
      </c>
      <c r="AD82" s="21" t="s">
        <v>162</v>
      </c>
      <c r="AE82" s="21" t="s">
        <v>162</v>
      </c>
      <c r="AF82" s="10" t="s">
        <v>162</v>
      </c>
      <c r="AG82" s="10" t="s">
        <v>162</v>
      </c>
      <c r="AH82" s="21" t="s">
        <v>162</v>
      </c>
      <c r="AI82" s="21" t="s">
        <v>162</v>
      </c>
      <c r="AJ82" s="21" t="s">
        <v>162</v>
      </c>
      <c r="AK82" s="21" t="s">
        <v>162</v>
      </c>
      <c r="AL82" s="21" t="s">
        <v>162</v>
      </c>
      <c r="AM82" s="21" t="s">
        <v>162</v>
      </c>
      <c r="AN82" s="21" t="s">
        <v>162</v>
      </c>
      <c r="AO82" s="10" t="s">
        <v>162</v>
      </c>
      <c r="AP82" s="21" t="s">
        <v>162</v>
      </c>
      <c r="AQ82" s="10" t="s">
        <v>625</v>
      </c>
      <c r="AR82" s="10" t="s">
        <v>626</v>
      </c>
      <c r="AS82" s="10" t="s">
        <v>627</v>
      </c>
      <c r="AT82" s="10" t="s">
        <v>628</v>
      </c>
      <c r="AU82" s="10" t="s">
        <v>629</v>
      </c>
      <c r="AV82" s="10" t="s">
        <v>162</v>
      </c>
      <c r="AW82" s="10"/>
    </row>
    <row r="83" spans="1:49">
      <c r="A83" s="10" t="s">
        <v>630</v>
      </c>
      <c r="B83" s="21" t="s">
        <v>162</v>
      </c>
      <c r="C83" s="74" t="s">
        <v>163</v>
      </c>
      <c r="D83" s="74">
        <v>44693</v>
      </c>
      <c r="E83" s="10" t="s">
        <v>631</v>
      </c>
      <c r="F83" s="75" t="str">
        <f>VLOOKUP($E83,'Item Classification'!B:C,2,0)</f>
        <v>Non-combat military vehicle</v>
      </c>
      <c r="G83" s="10" t="str">
        <f>VLOOKUP($E83,'Item Classification'!B:D,3,0)</f>
        <v>Other</v>
      </c>
      <c r="H83" s="76">
        <f>VLOOKUP($E83,'Item Classification'!B:E,4,0)</f>
        <v>16</v>
      </c>
      <c r="I83" s="81">
        <v>31</v>
      </c>
      <c r="J83" s="81" t="s">
        <v>162</v>
      </c>
      <c r="K83" s="81">
        <v>2023</v>
      </c>
      <c r="L83" s="81" t="s">
        <v>162</v>
      </c>
      <c r="M83" s="81" t="s">
        <v>162</v>
      </c>
      <c r="N83" s="10" t="s">
        <v>165</v>
      </c>
      <c r="O83" s="10" t="s">
        <v>162</v>
      </c>
      <c r="P83" s="10" t="s">
        <v>163</v>
      </c>
      <c r="Q83" s="77">
        <v>29</v>
      </c>
      <c r="R83" s="77">
        <v>1</v>
      </c>
      <c r="S83" s="77">
        <v>0</v>
      </c>
      <c r="T83" s="77">
        <v>0</v>
      </c>
      <c r="U83" s="77">
        <v>1</v>
      </c>
      <c r="V83" s="77">
        <v>0</v>
      </c>
      <c r="W83" s="77">
        <v>0</v>
      </c>
      <c r="X83" s="77">
        <v>0</v>
      </c>
      <c r="Y83" s="21" t="s">
        <v>632</v>
      </c>
      <c r="Z83" s="21" t="s">
        <v>163</v>
      </c>
      <c r="AA83" s="21" t="s">
        <v>163</v>
      </c>
      <c r="AB83" s="10" t="s">
        <v>162</v>
      </c>
      <c r="AC83" s="21" t="s">
        <v>162</v>
      </c>
      <c r="AD83" s="21" t="s">
        <v>162</v>
      </c>
      <c r="AE83" s="21" t="s">
        <v>162</v>
      </c>
      <c r="AF83" s="21" t="s">
        <v>162</v>
      </c>
      <c r="AG83" s="21" t="s">
        <v>162</v>
      </c>
      <c r="AH83" s="21" t="s">
        <v>162</v>
      </c>
      <c r="AI83" s="21" t="s">
        <v>162</v>
      </c>
      <c r="AJ83" s="21" t="s">
        <v>162</v>
      </c>
      <c r="AK83" s="21" t="s">
        <v>162</v>
      </c>
      <c r="AL83" s="21" t="s">
        <v>162</v>
      </c>
      <c r="AM83" s="21" t="s">
        <v>162</v>
      </c>
      <c r="AN83" s="21" t="s">
        <v>162</v>
      </c>
      <c r="AO83" s="10" t="s">
        <v>162</v>
      </c>
      <c r="AP83" s="21" t="s">
        <v>162</v>
      </c>
      <c r="AQ83" s="10" t="s">
        <v>633</v>
      </c>
      <c r="AR83" s="10" t="s">
        <v>634</v>
      </c>
      <c r="AS83" s="10" t="s">
        <v>635</v>
      </c>
      <c r="AT83" s="10" t="s">
        <v>636</v>
      </c>
      <c r="AU83" s="10" t="s">
        <v>162</v>
      </c>
      <c r="AV83" s="10" t="s">
        <v>162</v>
      </c>
      <c r="AW83" s="10"/>
    </row>
    <row r="84" spans="1:49">
      <c r="A84" s="10" t="s">
        <v>637</v>
      </c>
      <c r="B84" s="21" t="s">
        <v>638</v>
      </c>
      <c r="C84" s="74" t="s">
        <v>163</v>
      </c>
      <c r="D84" s="74">
        <v>44693</v>
      </c>
      <c r="E84" s="10" t="s">
        <v>639</v>
      </c>
      <c r="F84" s="75" t="str">
        <f>VLOOKUP($E84,'Item Classification'!B:C,2,0)</f>
        <v>Spare parts logistics</v>
      </c>
      <c r="G84" s="10" t="str">
        <f>VLOOKUP($E84,'Item Classification'!B:D,3,0)</f>
        <v>Maintenance</v>
      </c>
      <c r="H84" s="76">
        <f>VLOOKUP($E84,'Item Classification'!B:E,4,0)</f>
        <v>14</v>
      </c>
      <c r="I84" s="81">
        <v>2</v>
      </c>
      <c r="J84" s="182">
        <f>M84/I84</f>
        <v>25950000</v>
      </c>
      <c r="K84" s="81">
        <v>2024</v>
      </c>
      <c r="L84" s="81">
        <v>2026</v>
      </c>
      <c r="M84" s="183">
        <v>51900000</v>
      </c>
      <c r="N84" s="10" t="s">
        <v>165</v>
      </c>
      <c r="O84" s="10" t="s">
        <v>162</v>
      </c>
      <c r="P84" s="10" t="s">
        <v>163</v>
      </c>
      <c r="Q84" s="77">
        <v>29</v>
      </c>
      <c r="R84" s="77">
        <v>1</v>
      </c>
      <c r="S84" s="77">
        <v>1</v>
      </c>
      <c r="T84" s="77">
        <v>0</v>
      </c>
      <c r="U84" s="77">
        <v>1</v>
      </c>
      <c r="V84" s="77">
        <v>0</v>
      </c>
      <c r="W84" s="77">
        <v>0</v>
      </c>
      <c r="X84" s="77">
        <v>0</v>
      </c>
      <c r="Y84" s="10" t="s">
        <v>341</v>
      </c>
      <c r="Z84" s="10" t="s">
        <v>163</v>
      </c>
      <c r="AA84" s="21" t="s">
        <v>162</v>
      </c>
      <c r="AB84" s="10" t="s">
        <v>162</v>
      </c>
      <c r="AC84" s="21" t="s">
        <v>162</v>
      </c>
      <c r="AD84" s="21" t="s">
        <v>162</v>
      </c>
      <c r="AE84" s="21" t="s">
        <v>162</v>
      </c>
      <c r="AF84" s="21" t="s">
        <v>162</v>
      </c>
      <c r="AG84" s="21" t="s">
        <v>162</v>
      </c>
      <c r="AH84" s="21" t="s">
        <v>162</v>
      </c>
      <c r="AI84" s="21" t="s">
        <v>162</v>
      </c>
      <c r="AJ84" s="21" t="s">
        <v>162</v>
      </c>
      <c r="AK84" s="21" t="s">
        <v>162</v>
      </c>
      <c r="AL84" s="21" t="s">
        <v>162</v>
      </c>
      <c r="AM84" s="21" t="s">
        <v>162</v>
      </c>
      <c r="AN84" s="21" t="s">
        <v>162</v>
      </c>
      <c r="AO84" s="10" t="s">
        <v>162</v>
      </c>
      <c r="AP84" s="21" t="s">
        <v>162</v>
      </c>
      <c r="AQ84" s="10" t="s">
        <v>633</v>
      </c>
      <c r="AR84" s="10" t="s">
        <v>640</v>
      </c>
      <c r="AS84" s="10" t="s">
        <v>641</v>
      </c>
      <c r="AT84" s="10" t="s">
        <v>642</v>
      </c>
      <c r="AU84" s="10" t="s">
        <v>162</v>
      </c>
      <c r="AV84" s="10" t="s">
        <v>162</v>
      </c>
      <c r="AW84" s="10"/>
    </row>
    <row r="85" spans="1:49">
      <c r="A85" s="10" t="s">
        <v>643</v>
      </c>
      <c r="B85" s="10" t="s">
        <v>403</v>
      </c>
      <c r="C85" s="74" t="s">
        <v>163</v>
      </c>
      <c r="D85" s="74">
        <v>44693</v>
      </c>
      <c r="E85" s="10" t="s">
        <v>162</v>
      </c>
      <c r="F85" s="75" t="s">
        <v>644</v>
      </c>
      <c r="G85" s="10" t="s">
        <v>645</v>
      </c>
      <c r="H85" s="76">
        <v>13</v>
      </c>
      <c r="I85" s="81" t="s">
        <v>162</v>
      </c>
      <c r="J85" s="81" t="s">
        <v>162</v>
      </c>
      <c r="K85" s="81" t="s">
        <v>162</v>
      </c>
      <c r="L85" s="81">
        <v>2025</v>
      </c>
      <c r="M85" s="183">
        <v>2400000000</v>
      </c>
      <c r="N85" s="10" t="s">
        <v>165</v>
      </c>
      <c r="O85" s="10" t="s">
        <v>162</v>
      </c>
      <c r="P85" s="10" t="s">
        <v>163</v>
      </c>
      <c r="Q85" s="77">
        <v>29</v>
      </c>
      <c r="R85" s="77">
        <v>0</v>
      </c>
      <c r="S85" s="77">
        <v>0</v>
      </c>
      <c r="T85" s="77">
        <v>0</v>
      </c>
      <c r="U85" s="77">
        <v>1</v>
      </c>
      <c r="V85" s="77">
        <v>0</v>
      </c>
      <c r="W85" s="77">
        <v>0</v>
      </c>
      <c r="X85" s="77">
        <v>0</v>
      </c>
      <c r="Y85" s="10" t="s">
        <v>240</v>
      </c>
      <c r="Z85" s="10" t="s">
        <v>163</v>
      </c>
      <c r="AA85" s="21" t="s">
        <v>162</v>
      </c>
      <c r="AB85" s="10" t="s">
        <v>162</v>
      </c>
      <c r="AC85" s="21" t="s">
        <v>162</v>
      </c>
      <c r="AD85" s="21" t="s">
        <v>162</v>
      </c>
      <c r="AE85" s="21" t="s">
        <v>162</v>
      </c>
      <c r="AF85" s="21" t="s">
        <v>162</v>
      </c>
      <c r="AG85" s="21" t="s">
        <v>162</v>
      </c>
      <c r="AH85" s="21" t="s">
        <v>162</v>
      </c>
      <c r="AI85" s="21" t="s">
        <v>162</v>
      </c>
      <c r="AJ85" s="21" t="s">
        <v>162</v>
      </c>
      <c r="AK85" s="21" t="s">
        <v>162</v>
      </c>
      <c r="AL85" s="21" t="s">
        <v>162</v>
      </c>
      <c r="AM85" s="21" t="s">
        <v>162</v>
      </c>
      <c r="AN85" s="21" t="s">
        <v>162</v>
      </c>
      <c r="AO85" s="10" t="s">
        <v>162</v>
      </c>
      <c r="AP85" s="21" t="s">
        <v>162</v>
      </c>
      <c r="AQ85" s="10" t="s">
        <v>633</v>
      </c>
      <c r="AR85" s="10" t="s">
        <v>646</v>
      </c>
      <c r="AS85" s="10" t="s">
        <v>647</v>
      </c>
      <c r="AT85" s="10" t="s">
        <v>648</v>
      </c>
      <c r="AU85" s="10" t="s">
        <v>649</v>
      </c>
      <c r="AV85" s="10" t="s">
        <v>162</v>
      </c>
      <c r="AW85" s="10"/>
    </row>
    <row r="86" spans="1:49">
      <c r="A86" s="10" t="s">
        <v>650</v>
      </c>
      <c r="B86" s="10" t="s">
        <v>403</v>
      </c>
      <c r="C86" s="10" t="s">
        <v>163</v>
      </c>
      <c r="D86" s="74">
        <v>44693</v>
      </c>
      <c r="E86" s="10" t="s">
        <v>651</v>
      </c>
      <c r="F86" s="75" t="str">
        <f>VLOOKUP($E86,'Item Classification'!B:C,2,0)</f>
        <v>Clothing and personal equipment</v>
      </c>
      <c r="G86" s="10" t="str">
        <f>VLOOKUP($E86,'Item Classification'!B:D,3,0)</f>
        <v>Modernisation</v>
      </c>
      <c r="H86" s="76">
        <f>VLOOKUP($E86,'Item Classification'!B:E,4,0)</f>
        <v>13</v>
      </c>
      <c r="I86" s="81">
        <v>305000</v>
      </c>
      <c r="J86" s="81" t="s">
        <v>162</v>
      </c>
      <c r="K86" s="81" t="s">
        <v>162</v>
      </c>
      <c r="L86" s="81">
        <v>2025</v>
      </c>
      <c r="M86" s="81" t="s">
        <v>162</v>
      </c>
      <c r="N86" s="10" t="s">
        <v>165</v>
      </c>
      <c r="O86" s="10" t="s">
        <v>162</v>
      </c>
      <c r="P86" s="10" t="s">
        <v>163</v>
      </c>
      <c r="Q86" s="77">
        <v>29</v>
      </c>
      <c r="R86" s="77">
        <v>0</v>
      </c>
      <c r="S86" s="77">
        <v>0</v>
      </c>
      <c r="T86" s="77">
        <v>0</v>
      </c>
      <c r="U86" s="77">
        <v>1</v>
      </c>
      <c r="V86" s="77">
        <v>0</v>
      </c>
      <c r="W86" s="77">
        <v>0</v>
      </c>
      <c r="X86" s="77">
        <v>0</v>
      </c>
      <c r="Y86" s="10" t="s">
        <v>240</v>
      </c>
      <c r="Z86" s="10" t="s">
        <v>163</v>
      </c>
      <c r="AA86" s="21" t="s">
        <v>162</v>
      </c>
      <c r="AB86" s="10" t="s">
        <v>162</v>
      </c>
      <c r="AC86" s="21" t="s">
        <v>162</v>
      </c>
      <c r="AD86" s="21" t="s">
        <v>162</v>
      </c>
      <c r="AE86" s="21" t="s">
        <v>162</v>
      </c>
      <c r="AF86" s="21" t="s">
        <v>162</v>
      </c>
      <c r="AG86" s="21" t="s">
        <v>162</v>
      </c>
      <c r="AH86" s="21" t="s">
        <v>162</v>
      </c>
      <c r="AI86" s="21" t="s">
        <v>162</v>
      </c>
      <c r="AJ86" s="21" t="s">
        <v>162</v>
      </c>
      <c r="AK86" s="21" t="s">
        <v>162</v>
      </c>
      <c r="AL86" s="21" t="s">
        <v>162</v>
      </c>
      <c r="AM86" s="21" t="s">
        <v>162</v>
      </c>
      <c r="AN86" s="21" t="s">
        <v>162</v>
      </c>
      <c r="AO86" s="10" t="s">
        <v>162</v>
      </c>
      <c r="AP86" s="21" t="s">
        <v>162</v>
      </c>
      <c r="AQ86" s="10" t="s">
        <v>633</v>
      </c>
      <c r="AR86" s="10" t="s">
        <v>646</v>
      </c>
      <c r="AS86" s="10" t="s">
        <v>647</v>
      </c>
      <c r="AT86" s="10" t="s">
        <v>648</v>
      </c>
      <c r="AU86" s="10" t="s">
        <v>649</v>
      </c>
      <c r="AV86" s="10" t="s">
        <v>162</v>
      </c>
      <c r="AW86" s="10"/>
    </row>
    <row r="87" spans="1:49">
      <c r="A87" s="10" t="s">
        <v>652</v>
      </c>
      <c r="B87" s="10" t="s">
        <v>403</v>
      </c>
      <c r="C87" s="10" t="s">
        <v>163</v>
      </c>
      <c r="D87" s="74">
        <v>44693</v>
      </c>
      <c r="E87" s="10" t="s">
        <v>653</v>
      </c>
      <c r="F87" s="75" t="str">
        <f>VLOOKUP($E87,'Item Classification'!B:C,2,0)</f>
        <v>Clothing and personal equipment</v>
      </c>
      <c r="G87" s="10" t="str">
        <f>VLOOKUP($E87,'Item Classification'!B:D,3,0)</f>
        <v>Modernisation</v>
      </c>
      <c r="H87" s="76">
        <f>VLOOKUP($E87,'Item Classification'!B:E,4,0)</f>
        <v>13</v>
      </c>
      <c r="I87" s="81">
        <v>150000</v>
      </c>
      <c r="J87" s="81" t="s">
        <v>162</v>
      </c>
      <c r="K87" s="81" t="s">
        <v>162</v>
      </c>
      <c r="L87" s="81">
        <v>2025</v>
      </c>
      <c r="M87" s="81" t="s">
        <v>162</v>
      </c>
      <c r="N87" s="10" t="s">
        <v>165</v>
      </c>
      <c r="O87" s="10" t="s">
        <v>162</v>
      </c>
      <c r="P87" s="10" t="s">
        <v>163</v>
      </c>
      <c r="Q87" s="77">
        <v>29</v>
      </c>
      <c r="R87" s="77">
        <v>0</v>
      </c>
      <c r="S87" s="77">
        <v>0</v>
      </c>
      <c r="T87" s="77">
        <v>0</v>
      </c>
      <c r="U87" s="77">
        <v>1</v>
      </c>
      <c r="V87" s="77">
        <v>0</v>
      </c>
      <c r="W87" s="77">
        <v>0</v>
      </c>
      <c r="X87" s="77">
        <v>0</v>
      </c>
      <c r="Y87" s="10" t="s">
        <v>240</v>
      </c>
      <c r="Z87" s="10" t="s">
        <v>163</v>
      </c>
      <c r="AA87" s="21" t="s">
        <v>162</v>
      </c>
      <c r="AB87" s="10" t="s">
        <v>162</v>
      </c>
      <c r="AC87" s="21" t="s">
        <v>162</v>
      </c>
      <c r="AD87" s="21" t="s">
        <v>162</v>
      </c>
      <c r="AE87" s="21" t="s">
        <v>162</v>
      </c>
      <c r="AF87" s="21" t="s">
        <v>162</v>
      </c>
      <c r="AG87" s="21" t="s">
        <v>162</v>
      </c>
      <c r="AH87" s="21" t="s">
        <v>162</v>
      </c>
      <c r="AI87" s="21" t="s">
        <v>162</v>
      </c>
      <c r="AJ87" s="21" t="s">
        <v>162</v>
      </c>
      <c r="AK87" s="21" t="s">
        <v>162</v>
      </c>
      <c r="AL87" s="21" t="s">
        <v>162</v>
      </c>
      <c r="AM87" s="21" t="s">
        <v>162</v>
      </c>
      <c r="AN87" s="21" t="s">
        <v>162</v>
      </c>
      <c r="AO87" s="10" t="s">
        <v>162</v>
      </c>
      <c r="AP87" s="21" t="s">
        <v>162</v>
      </c>
      <c r="AQ87" s="10" t="s">
        <v>633</v>
      </c>
      <c r="AR87" s="10" t="s">
        <v>646</v>
      </c>
      <c r="AS87" s="10" t="s">
        <v>647</v>
      </c>
      <c r="AT87" s="10" t="s">
        <v>648</v>
      </c>
      <c r="AU87" s="10" t="s">
        <v>649</v>
      </c>
      <c r="AV87" s="10" t="s">
        <v>162</v>
      </c>
      <c r="AW87" s="10"/>
    </row>
    <row r="88" spans="1:49">
      <c r="A88" s="10" t="s">
        <v>654</v>
      </c>
      <c r="B88" s="10" t="s">
        <v>403</v>
      </c>
      <c r="C88" s="10" t="s">
        <v>163</v>
      </c>
      <c r="D88" s="74">
        <v>44693</v>
      </c>
      <c r="E88" s="10" t="s">
        <v>655</v>
      </c>
      <c r="F88" s="75" t="str">
        <f>VLOOKUP($E88,'Item Classification'!B:C,2,0)</f>
        <v>Clothing and personal equipment</v>
      </c>
      <c r="G88" s="10" t="str">
        <f>VLOOKUP($E88,'Item Classification'!B:D,3,0)</f>
        <v>Modernisation</v>
      </c>
      <c r="H88" s="76">
        <f>VLOOKUP($E88,'Item Classification'!B:E,4,0)</f>
        <v>13</v>
      </c>
      <c r="I88" s="81">
        <v>250000</v>
      </c>
      <c r="J88" s="81" t="s">
        <v>162</v>
      </c>
      <c r="K88" s="81" t="s">
        <v>162</v>
      </c>
      <c r="L88" s="81">
        <v>2025</v>
      </c>
      <c r="M88" s="81" t="s">
        <v>162</v>
      </c>
      <c r="N88" s="10" t="s">
        <v>165</v>
      </c>
      <c r="O88" s="10" t="s">
        <v>162</v>
      </c>
      <c r="P88" s="10" t="s">
        <v>163</v>
      </c>
      <c r="Q88" s="77">
        <v>29</v>
      </c>
      <c r="R88" s="77">
        <v>0</v>
      </c>
      <c r="S88" s="77">
        <v>0</v>
      </c>
      <c r="T88" s="77">
        <v>0</v>
      </c>
      <c r="U88" s="77">
        <v>1</v>
      </c>
      <c r="V88" s="77">
        <v>0</v>
      </c>
      <c r="W88" s="77">
        <v>0</v>
      </c>
      <c r="X88" s="77">
        <v>0</v>
      </c>
      <c r="Y88" s="10" t="s">
        <v>240</v>
      </c>
      <c r="Z88" s="10" t="s">
        <v>163</v>
      </c>
      <c r="AA88" s="21" t="s">
        <v>162</v>
      </c>
      <c r="AB88" s="10" t="s">
        <v>162</v>
      </c>
      <c r="AC88" s="21" t="s">
        <v>162</v>
      </c>
      <c r="AD88" s="21" t="s">
        <v>162</v>
      </c>
      <c r="AE88" s="21" t="s">
        <v>162</v>
      </c>
      <c r="AF88" s="21" t="s">
        <v>162</v>
      </c>
      <c r="AG88" s="21" t="s">
        <v>162</v>
      </c>
      <c r="AH88" s="21" t="s">
        <v>162</v>
      </c>
      <c r="AI88" s="21" t="s">
        <v>162</v>
      </c>
      <c r="AJ88" s="21" t="s">
        <v>162</v>
      </c>
      <c r="AK88" s="21" t="s">
        <v>162</v>
      </c>
      <c r="AL88" s="21" t="s">
        <v>162</v>
      </c>
      <c r="AM88" s="21" t="s">
        <v>162</v>
      </c>
      <c r="AN88" s="21" t="s">
        <v>162</v>
      </c>
      <c r="AO88" s="10" t="s">
        <v>162</v>
      </c>
      <c r="AP88" s="21" t="s">
        <v>162</v>
      </c>
      <c r="AQ88" s="10" t="s">
        <v>633</v>
      </c>
      <c r="AR88" s="10" t="s">
        <v>646</v>
      </c>
      <c r="AS88" s="10" t="s">
        <v>647</v>
      </c>
      <c r="AT88" s="10" t="s">
        <v>648</v>
      </c>
      <c r="AU88" s="10" t="s">
        <v>649</v>
      </c>
      <c r="AV88" s="10" t="s">
        <v>162</v>
      </c>
      <c r="AW88" s="10"/>
    </row>
    <row r="89" spans="1:49">
      <c r="A89" s="10" t="s">
        <v>656</v>
      </c>
      <c r="B89" s="10" t="s">
        <v>403</v>
      </c>
      <c r="C89" s="10" t="s">
        <v>163</v>
      </c>
      <c r="D89" s="74">
        <v>44693</v>
      </c>
      <c r="E89" s="10" t="s">
        <v>657</v>
      </c>
      <c r="F89" s="75" t="str">
        <f>VLOOKUP($E89,'Item Classification'!B:C,2,0)</f>
        <v>Clothing and personal equipment</v>
      </c>
      <c r="G89" s="10" t="str">
        <f>VLOOKUP($E89,'Item Classification'!B:D,3,0)</f>
        <v>Modernisation</v>
      </c>
      <c r="H89" s="76">
        <f>VLOOKUP($E89,'Item Classification'!B:E,4,0)</f>
        <v>13</v>
      </c>
      <c r="I89" s="81">
        <v>122000</v>
      </c>
      <c r="J89" s="81" t="s">
        <v>162</v>
      </c>
      <c r="K89" s="81" t="s">
        <v>162</v>
      </c>
      <c r="L89" s="81">
        <v>2025</v>
      </c>
      <c r="M89" s="81" t="s">
        <v>162</v>
      </c>
      <c r="N89" s="10" t="s">
        <v>165</v>
      </c>
      <c r="O89" s="10" t="s">
        <v>162</v>
      </c>
      <c r="P89" s="10" t="s">
        <v>163</v>
      </c>
      <c r="Q89" s="77">
        <v>29</v>
      </c>
      <c r="R89" s="77">
        <v>0</v>
      </c>
      <c r="S89" s="77">
        <v>0</v>
      </c>
      <c r="T89" s="77">
        <v>0</v>
      </c>
      <c r="U89" s="77">
        <v>1</v>
      </c>
      <c r="V89" s="77">
        <v>0</v>
      </c>
      <c r="W89" s="77">
        <v>0</v>
      </c>
      <c r="X89" s="77">
        <v>0</v>
      </c>
      <c r="Y89" s="10" t="s">
        <v>240</v>
      </c>
      <c r="Z89" s="10" t="s">
        <v>163</v>
      </c>
      <c r="AA89" s="21" t="s">
        <v>162</v>
      </c>
      <c r="AB89" s="10" t="s">
        <v>162</v>
      </c>
      <c r="AC89" s="21" t="s">
        <v>162</v>
      </c>
      <c r="AD89" s="21" t="s">
        <v>162</v>
      </c>
      <c r="AE89" s="21" t="s">
        <v>162</v>
      </c>
      <c r="AF89" s="21" t="s">
        <v>162</v>
      </c>
      <c r="AG89" s="21" t="s">
        <v>162</v>
      </c>
      <c r="AH89" s="21" t="s">
        <v>162</v>
      </c>
      <c r="AI89" s="21" t="s">
        <v>162</v>
      </c>
      <c r="AJ89" s="21" t="s">
        <v>162</v>
      </c>
      <c r="AK89" s="21" t="s">
        <v>162</v>
      </c>
      <c r="AL89" s="21" t="s">
        <v>162</v>
      </c>
      <c r="AM89" s="21" t="s">
        <v>162</v>
      </c>
      <c r="AN89" s="21" t="s">
        <v>162</v>
      </c>
      <c r="AO89" s="10" t="s">
        <v>162</v>
      </c>
      <c r="AP89" s="21" t="s">
        <v>162</v>
      </c>
      <c r="AQ89" s="10" t="s">
        <v>633</v>
      </c>
      <c r="AR89" s="10" t="s">
        <v>646</v>
      </c>
      <c r="AS89" s="10" t="s">
        <v>647</v>
      </c>
      <c r="AT89" s="10" t="s">
        <v>648</v>
      </c>
      <c r="AU89" s="10" t="s">
        <v>649</v>
      </c>
      <c r="AV89" s="10" t="s">
        <v>162</v>
      </c>
      <c r="AW89" s="10"/>
    </row>
    <row r="90" spans="1:49">
      <c r="A90" s="10" t="s">
        <v>658</v>
      </c>
      <c r="B90" s="21" t="s">
        <v>162</v>
      </c>
      <c r="C90" s="74" t="s">
        <v>163</v>
      </c>
      <c r="D90" s="74">
        <v>44710</v>
      </c>
      <c r="E90" s="10" t="s">
        <v>659</v>
      </c>
      <c r="F90" s="75" t="str">
        <f>VLOOKUP($E90,'Item Classification'!B:C,2,0)</f>
        <v>Communication and digitalisation</v>
      </c>
      <c r="G90" s="10" t="str">
        <f>VLOOKUP($E90,'Item Classification'!B:D,3,0)</f>
        <v>Modernisation</v>
      </c>
      <c r="H90" s="76">
        <f>VLOOKUP($E90,'Item Classification'!B:E,4,0)</f>
        <v>13</v>
      </c>
      <c r="I90" s="81">
        <v>5</v>
      </c>
      <c r="J90" s="182">
        <f>M90/I90</f>
        <v>12400000</v>
      </c>
      <c r="K90" s="81">
        <v>2024</v>
      </c>
      <c r="L90" s="81">
        <v>2028</v>
      </c>
      <c r="M90" s="184">
        <v>62000000</v>
      </c>
      <c r="N90" s="10" t="s">
        <v>165</v>
      </c>
      <c r="O90" s="10" t="s">
        <v>162</v>
      </c>
      <c r="P90" s="10" t="s">
        <v>163</v>
      </c>
      <c r="Q90" s="77">
        <v>29</v>
      </c>
      <c r="R90" s="77">
        <v>1</v>
      </c>
      <c r="S90" s="77">
        <v>1</v>
      </c>
      <c r="T90" s="77">
        <v>0</v>
      </c>
      <c r="U90" s="77">
        <v>1</v>
      </c>
      <c r="V90" s="77">
        <v>1</v>
      </c>
      <c r="W90" s="77">
        <v>0</v>
      </c>
      <c r="X90" s="77">
        <v>0</v>
      </c>
      <c r="Y90" s="21" t="s">
        <v>168</v>
      </c>
      <c r="Z90" s="10" t="s">
        <v>163</v>
      </c>
      <c r="AA90" s="10" t="s">
        <v>162</v>
      </c>
      <c r="AB90" s="10" t="s">
        <v>162</v>
      </c>
      <c r="AC90" s="21" t="s">
        <v>162</v>
      </c>
      <c r="AD90" s="21" t="s">
        <v>162</v>
      </c>
      <c r="AE90" s="21" t="s">
        <v>162</v>
      </c>
      <c r="AF90" s="21" t="s">
        <v>162</v>
      </c>
      <c r="AG90" s="21" t="s">
        <v>162</v>
      </c>
      <c r="AH90" s="21" t="s">
        <v>162</v>
      </c>
      <c r="AI90" s="21" t="s">
        <v>162</v>
      </c>
      <c r="AJ90" s="21" t="s">
        <v>162</v>
      </c>
      <c r="AK90" s="21" t="s">
        <v>162</v>
      </c>
      <c r="AL90" s="21" t="s">
        <v>162</v>
      </c>
      <c r="AM90" s="21" t="s">
        <v>162</v>
      </c>
      <c r="AN90" s="21" t="s">
        <v>162</v>
      </c>
      <c r="AO90" s="10" t="s">
        <v>162</v>
      </c>
      <c r="AP90" s="21" t="s">
        <v>162</v>
      </c>
      <c r="AQ90" s="10" t="s">
        <v>660</v>
      </c>
      <c r="AR90" s="10" t="s">
        <v>661</v>
      </c>
      <c r="AS90" s="10" t="s">
        <v>162</v>
      </c>
      <c r="AT90" s="10" t="s">
        <v>662</v>
      </c>
      <c r="AU90" s="10" t="s">
        <v>162</v>
      </c>
      <c r="AV90" s="10" t="s">
        <v>162</v>
      </c>
      <c r="AW90" s="10"/>
    </row>
    <row r="91" spans="1:49">
      <c r="A91" s="10" t="s">
        <v>663</v>
      </c>
      <c r="B91" s="21" t="s">
        <v>162</v>
      </c>
      <c r="C91" s="74" t="s">
        <v>163</v>
      </c>
      <c r="D91" s="74">
        <v>44735</v>
      </c>
      <c r="E91" s="10" t="s">
        <v>664</v>
      </c>
      <c r="F91" s="75" t="str">
        <f>VLOOKUP($E91,'Item Classification'!B:C,2,0)</f>
        <v>Medium-range operational boat</v>
      </c>
      <c r="G91" s="10" t="str">
        <f>VLOOKUP($E91,'Item Classification'!B:D,3,0)</f>
        <v>Naval</v>
      </c>
      <c r="H91" s="76">
        <f>VLOOKUP($E91,'Item Classification'!B:E,4,0)</f>
        <v>12</v>
      </c>
      <c r="I91" s="81">
        <v>9</v>
      </c>
      <c r="J91" s="182">
        <f>M91/I91</f>
        <v>3888888.888888889</v>
      </c>
      <c r="K91" s="81">
        <v>2024</v>
      </c>
      <c r="L91" s="81">
        <v>2025</v>
      </c>
      <c r="M91" s="183">
        <v>35000000</v>
      </c>
      <c r="N91" s="10" t="s">
        <v>665</v>
      </c>
      <c r="O91" s="10" t="s">
        <v>165</v>
      </c>
      <c r="P91" s="10" t="s">
        <v>163</v>
      </c>
      <c r="Q91" s="77">
        <v>30</v>
      </c>
      <c r="R91" s="77">
        <v>1</v>
      </c>
      <c r="S91" s="77">
        <v>0</v>
      </c>
      <c r="T91" s="77">
        <v>0</v>
      </c>
      <c r="U91" s="77">
        <v>1</v>
      </c>
      <c r="V91" s="77">
        <v>1</v>
      </c>
      <c r="W91" s="77">
        <v>0</v>
      </c>
      <c r="X91" s="77">
        <v>1</v>
      </c>
      <c r="Y91" s="10" t="s">
        <v>666</v>
      </c>
      <c r="Z91" s="10" t="s">
        <v>667</v>
      </c>
      <c r="AA91" s="10" t="s">
        <v>162</v>
      </c>
      <c r="AB91" s="10" t="s">
        <v>668</v>
      </c>
      <c r="AC91" s="10" t="s">
        <v>268</v>
      </c>
      <c r="AD91" s="21" t="s">
        <v>669</v>
      </c>
      <c r="AE91" s="21" t="s">
        <v>670</v>
      </c>
      <c r="AF91" s="10" t="s">
        <v>163</v>
      </c>
      <c r="AG91" s="10" t="s">
        <v>162</v>
      </c>
      <c r="AH91" s="21" t="s">
        <v>162</v>
      </c>
      <c r="AI91" s="21" t="s">
        <v>162</v>
      </c>
      <c r="AJ91" s="21" t="s">
        <v>162</v>
      </c>
      <c r="AK91" s="21" t="s">
        <v>162</v>
      </c>
      <c r="AL91" s="21" t="s">
        <v>162</v>
      </c>
      <c r="AM91" s="21" t="s">
        <v>162</v>
      </c>
      <c r="AN91" s="21" t="s">
        <v>162</v>
      </c>
      <c r="AO91" s="10" t="s">
        <v>162</v>
      </c>
      <c r="AP91" s="21" t="s">
        <v>162</v>
      </c>
      <c r="AQ91" s="10" t="s">
        <v>671</v>
      </c>
      <c r="AR91" s="10" t="s">
        <v>672</v>
      </c>
      <c r="AS91" s="10" t="s">
        <v>162</v>
      </c>
      <c r="AT91" s="10" t="s">
        <v>673</v>
      </c>
      <c r="AU91" s="10" t="s">
        <v>162</v>
      </c>
      <c r="AV91" s="10" t="s">
        <v>162</v>
      </c>
      <c r="AW91" s="10"/>
    </row>
    <row r="92" spans="1:49">
      <c r="A92" s="10" t="s">
        <v>674</v>
      </c>
      <c r="B92" s="21" t="s">
        <v>162</v>
      </c>
      <c r="C92" s="74" t="s">
        <v>163</v>
      </c>
      <c r="D92" s="74">
        <v>44735</v>
      </c>
      <c r="E92" s="10" t="s">
        <v>675</v>
      </c>
      <c r="F92" s="75" t="str">
        <f>VLOOKUP($E92,'Item Classification'!B:C,2,0)</f>
        <v>Communication and digitalisation</v>
      </c>
      <c r="G92" s="10" t="str">
        <f>VLOOKUP($E92,'Item Classification'!B:D,3,0)</f>
        <v>Modernisation</v>
      </c>
      <c r="H92" s="76">
        <f>VLOOKUP($E92,'Item Classification'!B:E,4,0)</f>
        <v>13</v>
      </c>
      <c r="I92" s="81">
        <v>4</v>
      </c>
      <c r="J92" s="182">
        <f>M92/I92</f>
        <v>25250000</v>
      </c>
      <c r="K92" s="81">
        <v>2024</v>
      </c>
      <c r="L92" s="81">
        <v>2026</v>
      </c>
      <c r="M92" s="184">
        <v>101000000</v>
      </c>
      <c r="N92" s="10" t="s">
        <v>165</v>
      </c>
      <c r="O92" s="10" t="s">
        <v>162</v>
      </c>
      <c r="P92" s="10" t="s">
        <v>163</v>
      </c>
      <c r="Q92" s="77">
        <v>30</v>
      </c>
      <c r="R92" s="77">
        <v>1</v>
      </c>
      <c r="S92" s="77">
        <v>0</v>
      </c>
      <c r="T92" s="77">
        <v>0</v>
      </c>
      <c r="U92" s="77">
        <v>0</v>
      </c>
      <c r="V92" s="77">
        <v>0</v>
      </c>
      <c r="W92" s="77">
        <v>0</v>
      </c>
      <c r="X92" s="77">
        <v>0</v>
      </c>
      <c r="Y92" s="10" t="s">
        <v>676</v>
      </c>
      <c r="Z92" s="10" t="s">
        <v>167</v>
      </c>
      <c r="AA92" s="10" t="s">
        <v>162</v>
      </c>
      <c r="AB92" s="10" t="s">
        <v>162</v>
      </c>
      <c r="AC92" s="10" t="s">
        <v>162</v>
      </c>
      <c r="AD92" s="21" t="s">
        <v>162</v>
      </c>
      <c r="AE92" s="21" t="s">
        <v>162</v>
      </c>
      <c r="AF92" s="10" t="s">
        <v>162</v>
      </c>
      <c r="AG92" s="10" t="s">
        <v>162</v>
      </c>
      <c r="AH92" s="21" t="s">
        <v>162</v>
      </c>
      <c r="AI92" s="21" t="s">
        <v>162</v>
      </c>
      <c r="AJ92" s="21" t="s">
        <v>162</v>
      </c>
      <c r="AK92" s="21" t="s">
        <v>162</v>
      </c>
      <c r="AL92" s="21" t="s">
        <v>162</v>
      </c>
      <c r="AM92" s="21" t="s">
        <v>162</v>
      </c>
      <c r="AN92" s="21" t="s">
        <v>162</v>
      </c>
      <c r="AO92" s="10" t="s">
        <v>162</v>
      </c>
      <c r="AP92" s="21" t="s">
        <v>162</v>
      </c>
      <c r="AQ92" s="10" t="s">
        <v>671</v>
      </c>
      <c r="AR92" s="10" t="s">
        <v>677</v>
      </c>
      <c r="AS92" s="10" t="s">
        <v>678</v>
      </c>
      <c r="AT92" s="10" t="s">
        <v>679</v>
      </c>
      <c r="AU92" s="10" t="s">
        <v>162</v>
      </c>
      <c r="AV92" s="10" t="s">
        <v>162</v>
      </c>
      <c r="AW92" s="10"/>
    </row>
    <row r="93" spans="1:49">
      <c r="A93" s="10" t="s">
        <v>680</v>
      </c>
      <c r="B93" s="10" t="s">
        <v>415</v>
      </c>
      <c r="C93" s="74" t="s">
        <v>163</v>
      </c>
      <c r="D93" s="74">
        <v>44749</v>
      </c>
      <c r="E93" s="10" t="s">
        <v>681</v>
      </c>
      <c r="F93" s="75" t="str">
        <f>VLOOKUP($E93,'Item Classification'!B:C,2,0)</f>
        <v>Maritime reconnaissance patrol aircraft - contract adjustment</v>
      </c>
      <c r="G93" s="10" t="str">
        <f>VLOOKUP($E93,'Item Classification'!B:D,3,0)</f>
        <v>Naval</v>
      </c>
      <c r="H93" s="76">
        <f>VLOOKUP($E93,'Item Classification'!B:E,4,0)</f>
        <v>12</v>
      </c>
      <c r="I93" s="81">
        <v>5</v>
      </c>
      <c r="J93" s="81" t="s">
        <v>162</v>
      </c>
      <c r="K93" s="81">
        <v>2024</v>
      </c>
      <c r="L93" s="81">
        <v>2025</v>
      </c>
      <c r="M93" s="183">
        <v>341800000</v>
      </c>
      <c r="N93" s="10" t="s">
        <v>165</v>
      </c>
      <c r="O93" s="10" t="s">
        <v>162</v>
      </c>
      <c r="P93" s="10" t="s">
        <v>163</v>
      </c>
      <c r="Q93" s="77">
        <v>31</v>
      </c>
      <c r="R93" s="77">
        <v>0</v>
      </c>
      <c r="S93" s="77">
        <v>0</v>
      </c>
      <c r="T93" s="77">
        <v>1</v>
      </c>
      <c r="U93" s="77">
        <v>0</v>
      </c>
      <c r="V93" s="77">
        <v>0</v>
      </c>
      <c r="W93" s="77">
        <v>0</v>
      </c>
      <c r="X93" s="77">
        <v>0</v>
      </c>
      <c r="Y93" s="10" t="s">
        <v>214</v>
      </c>
      <c r="Z93" s="10" t="s">
        <v>218</v>
      </c>
      <c r="AA93" s="10" t="s">
        <v>162</v>
      </c>
      <c r="AB93" s="10" t="s">
        <v>162</v>
      </c>
      <c r="AC93" s="10" t="s">
        <v>162</v>
      </c>
      <c r="AD93" s="21" t="s">
        <v>162</v>
      </c>
      <c r="AE93" s="21" t="s">
        <v>162</v>
      </c>
      <c r="AF93" s="10" t="s">
        <v>162</v>
      </c>
      <c r="AG93" s="10" t="s">
        <v>162</v>
      </c>
      <c r="AH93" s="21" t="s">
        <v>162</v>
      </c>
      <c r="AI93" s="21" t="s">
        <v>162</v>
      </c>
      <c r="AJ93" s="21" t="s">
        <v>162</v>
      </c>
      <c r="AK93" s="21" t="s">
        <v>162</v>
      </c>
      <c r="AL93" s="21" t="s">
        <v>162</v>
      </c>
      <c r="AM93" s="21" t="s">
        <v>162</v>
      </c>
      <c r="AN93" s="21" t="s">
        <v>162</v>
      </c>
      <c r="AO93" s="10" t="s">
        <v>162</v>
      </c>
      <c r="AP93" s="21" t="s">
        <v>162</v>
      </c>
      <c r="AQ93" s="10" t="s">
        <v>682</v>
      </c>
      <c r="AR93" s="10" t="s">
        <v>683</v>
      </c>
      <c r="AS93" s="10" t="s">
        <v>162</v>
      </c>
      <c r="AT93" s="10" t="s">
        <v>684</v>
      </c>
      <c r="AU93" s="10" t="s">
        <v>685</v>
      </c>
      <c r="AV93" s="10" t="s">
        <v>162</v>
      </c>
      <c r="AW93" s="10"/>
    </row>
    <row r="94" spans="1:49">
      <c r="A94" s="10" t="s">
        <v>686</v>
      </c>
      <c r="B94" s="21" t="s">
        <v>162</v>
      </c>
      <c r="C94" s="74" t="s">
        <v>163</v>
      </c>
      <c r="D94" s="74">
        <v>44749</v>
      </c>
      <c r="E94" s="10" t="s">
        <v>687</v>
      </c>
      <c r="F94" s="75" t="str">
        <f>VLOOKUP($E94,'Item Classification'!B:C,2,0)</f>
        <v>Weapon system development</v>
      </c>
      <c r="G94" s="10" t="str">
        <f>VLOOKUP($E94,'Item Classification'!B:D,3,0)</f>
        <v>Development - Aircraft</v>
      </c>
      <c r="H94" s="76">
        <f>VLOOKUP($E94,'Item Classification'!B:E,4,0)</f>
        <v>15</v>
      </c>
      <c r="I94" s="81" t="s">
        <v>162</v>
      </c>
      <c r="J94" s="81" t="s">
        <v>162</v>
      </c>
      <c r="K94" s="81">
        <v>2022</v>
      </c>
      <c r="L94" s="81" t="s">
        <v>162</v>
      </c>
      <c r="M94" s="183">
        <v>242000000</v>
      </c>
      <c r="N94" s="10" t="s">
        <v>165</v>
      </c>
      <c r="O94" s="10" t="s">
        <v>162</v>
      </c>
      <c r="P94" s="10" t="s">
        <v>163</v>
      </c>
      <c r="Q94" s="77">
        <v>31</v>
      </c>
      <c r="R94" s="77">
        <v>0</v>
      </c>
      <c r="S94" s="77">
        <v>0</v>
      </c>
      <c r="T94" s="77">
        <v>0</v>
      </c>
      <c r="U94" s="77">
        <v>1</v>
      </c>
      <c r="V94" s="77">
        <v>1</v>
      </c>
      <c r="W94" s="77">
        <v>0</v>
      </c>
      <c r="X94" s="77">
        <v>1</v>
      </c>
      <c r="Y94" s="10" t="s">
        <v>688</v>
      </c>
      <c r="Z94" s="10" t="s">
        <v>163</v>
      </c>
      <c r="AA94" s="10" t="s">
        <v>162</v>
      </c>
      <c r="AB94" s="10" t="s">
        <v>162</v>
      </c>
      <c r="AC94" s="10" t="s">
        <v>162</v>
      </c>
      <c r="AD94" s="21" t="s">
        <v>162</v>
      </c>
      <c r="AE94" s="21" t="s">
        <v>162</v>
      </c>
      <c r="AF94" s="10" t="s">
        <v>689</v>
      </c>
      <c r="AG94" s="10" t="s">
        <v>219</v>
      </c>
      <c r="AH94" s="21" t="s">
        <v>190</v>
      </c>
      <c r="AI94" s="21" t="s">
        <v>162</v>
      </c>
      <c r="AJ94" s="21" t="s">
        <v>162</v>
      </c>
      <c r="AK94" s="21" t="s">
        <v>162</v>
      </c>
      <c r="AL94" s="21" t="s">
        <v>162</v>
      </c>
      <c r="AM94" s="21" t="s">
        <v>162</v>
      </c>
      <c r="AN94" s="21" t="s">
        <v>162</v>
      </c>
      <c r="AO94" s="10" t="s">
        <v>162</v>
      </c>
      <c r="AP94" s="21" t="s">
        <v>162</v>
      </c>
      <c r="AQ94" s="10" t="s">
        <v>682</v>
      </c>
      <c r="AR94" s="10" t="s">
        <v>162</v>
      </c>
      <c r="AS94" s="10" t="s">
        <v>162</v>
      </c>
      <c r="AT94" s="10" t="s">
        <v>690</v>
      </c>
      <c r="AU94" s="10" t="s">
        <v>162</v>
      </c>
      <c r="AV94" s="10" t="s">
        <v>162</v>
      </c>
      <c r="AW94" s="10"/>
    </row>
    <row r="95" spans="1:49">
      <c r="A95" s="10" t="s">
        <v>691</v>
      </c>
      <c r="B95" s="21" t="s">
        <v>162</v>
      </c>
      <c r="C95" s="74" t="s">
        <v>163</v>
      </c>
      <c r="D95" s="74">
        <v>44749</v>
      </c>
      <c r="E95" s="10" t="s">
        <v>644</v>
      </c>
      <c r="F95" s="75" t="str">
        <f>VLOOKUP($E95,'Item Classification'!B:C,2,0)</f>
        <v>Clothing and personal equipment</v>
      </c>
      <c r="G95" s="10" t="str">
        <f>VLOOKUP($E95,'Item Classification'!B:D,3,0)</f>
        <v>Modernisation</v>
      </c>
      <c r="H95" s="76">
        <f>VLOOKUP($E95,'Item Classification'!B:E,4,0)</f>
        <v>13</v>
      </c>
      <c r="I95" s="81" t="s">
        <v>162</v>
      </c>
      <c r="J95" s="81" t="s">
        <v>162</v>
      </c>
      <c r="K95" s="81" t="s">
        <v>162</v>
      </c>
      <c r="L95" s="81">
        <v>2025</v>
      </c>
      <c r="M95" s="183">
        <v>6890000000</v>
      </c>
      <c r="N95" s="10" t="s">
        <v>165</v>
      </c>
      <c r="O95" s="10" t="s">
        <v>162</v>
      </c>
      <c r="P95" s="10" t="s">
        <v>163</v>
      </c>
      <c r="Q95" s="77">
        <v>31</v>
      </c>
      <c r="R95" s="77">
        <v>0</v>
      </c>
      <c r="S95" s="77">
        <v>0</v>
      </c>
      <c r="T95" s="77">
        <v>0</v>
      </c>
      <c r="U95" s="77">
        <v>1</v>
      </c>
      <c r="V95" s="77">
        <v>0</v>
      </c>
      <c r="W95" s="77">
        <v>0</v>
      </c>
      <c r="X95" s="77">
        <v>0</v>
      </c>
      <c r="Y95" s="10" t="s">
        <v>240</v>
      </c>
      <c r="Z95" s="10" t="s">
        <v>163</v>
      </c>
      <c r="AA95" s="10" t="s">
        <v>162</v>
      </c>
      <c r="AB95" s="10" t="s">
        <v>162</v>
      </c>
      <c r="AC95" s="10" t="s">
        <v>162</v>
      </c>
      <c r="AD95" s="21" t="s">
        <v>162</v>
      </c>
      <c r="AE95" s="21" t="s">
        <v>162</v>
      </c>
      <c r="AF95" s="10" t="s">
        <v>162</v>
      </c>
      <c r="AG95" s="10" t="s">
        <v>162</v>
      </c>
      <c r="AH95" s="21" t="s">
        <v>162</v>
      </c>
      <c r="AI95" s="21" t="s">
        <v>162</v>
      </c>
      <c r="AJ95" s="21" t="s">
        <v>162</v>
      </c>
      <c r="AK95" s="21" t="s">
        <v>162</v>
      </c>
      <c r="AL95" s="21" t="s">
        <v>162</v>
      </c>
      <c r="AM95" s="21" t="s">
        <v>162</v>
      </c>
      <c r="AN95" s="21" t="s">
        <v>162</v>
      </c>
      <c r="AO95" s="10" t="s">
        <v>162</v>
      </c>
      <c r="AP95" s="21" t="s">
        <v>162</v>
      </c>
      <c r="AQ95" s="10" t="s">
        <v>682</v>
      </c>
      <c r="AR95" s="10" t="s">
        <v>162</v>
      </c>
      <c r="AS95" s="10" t="s">
        <v>162</v>
      </c>
      <c r="AT95" s="10" t="s">
        <v>692</v>
      </c>
      <c r="AU95" s="10" t="s">
        <v>162</v>
      </c>
      <c r="AV95" s="10" t="s">
        <v>162</v>
      </c>
      <c r="AW95" s="10"/>
    </row>
    <row r="96" spans="1:49">
      <c r="A96" s="10" t="s">
        <v>693</v>
      </c>
      <c r="B96" s="10" t="s">
        <v>266</v>
      </c>
      <c r="C96" s="74" t="s">
        <v>163</v>
      </c>
      <c r="D96" s="74">
        <v>44749</v>
      </c>
      <c r="E96" s="10" t="s">
        <v>267</v>
      </c>
      <c r="F96" s="75" t="str">
        <f>VLOOKUP($E96,'Item Classification'!B:C,2,0)</f>
        <v>120mm tank ammunition</v>
      </c>
      <c r="G96" s="10" t="str">
        <f>VLOOKUP($E96,'Item Classification'!B:D,3,0)</f>
        <v>Ammunition</v>
      </c>
      <c r="H96" s="76">
        <f>VLOOKUP($E96,'Item Classification'!B:E,4,0)</f>
        <v>4</v>
      </c>
      <c r="I96" s="81">
        <v>20715</v>
      </c>
      <c r="J96" s="182">
        <f>M96/I96</f>
        <v>2032.3437122857833</v>
      </c>
      <c r="K96" s="81">
        <v>2022</v>
      </c>
      <c r="L96" s="81">
        <v>2022</v>
      </c>
      <c r="M96" s="184">
        <v>42100000</v>
      </c>
      <c r="N96" s="10" t="s">
        <v>165</v>
      </c>
      <c r="O96" s="10" t="s">
        <v>162</v>
      </c>
      <c r="P96" s="10" t="s">
        <v>163</v>
      </c>
      <c r="Q96" s="77">
        <v>31</v>
      </c>
      <c r="R96" s="77">
        <v>1</v>
      </c>
      <c r="S96" s="77">
        <v>0</v>
      </c>
      <c r="T96" s="77">
        <v>0</v>
      </c>
      <c r="U96" s="77">
        <v>1</v>
      </c>
      <c r="V96" s="77">
        <v>0</v>
      </c>
      <c r="W96" s="77">
        <v>0</v>
      </c>
      <c r="X96" s="77">
        <v>0</v>
      </c>
      <c r="Y96" s="10" t="s">
        <v>268</v>
      </c>
      <c r="Z96" s="10" t="s">
        <v>163</v>
      </c>
      <c r="AA96" s="10" t="s">
        <v>162</v>
      </c>
      <c r="AB96" s="10" t="s">
        <v>162</v>
      </c>
      <c r="AC96" s="10" t="s">
        <v>162</v>
      </c>
      <c r="AD96" s="21" t="s">
        <v>162</v>
      </c>
      <c r="AE96" s="21" t="s">
        <v>162</v>
      </c>
      <c r="AF96" s="10" t="s">
        <v>162</v>
      </c>
      <c r="AG96" s="10" t="s">
        <v>162</v>
      </c>
      <c r="AH96" s="21" t="s">
        <v>162</v>
      </c>
      <c r="AI96" s="21" t="s">
        <v>162</v>
      </c>
      <c r="AJ96" s="21" t="s">
        <v>162</v>
      </c>
      <c r="AK96" s="21" t="s">
        <v>162</v>
      </c>
      <c r="AL96" s="21" t="s">
        <v>162</v>
      </c>
      <c r="AM96" s="21" t="s">
        <v>162</v>
      </c>
      <c r="AN96" s="21" t="s">
        <v>162</v>
      </c>
      <c r="AO96" s="10" t="s">
        <v>162</v>
      </c>
      <c r="AP96" s="21" t="s">
        <v>162</v>
      </c>
      <c r="AQ96" s="10" t="s">
        <v>682</v>
      </c>
      <c r="AR96" s="10" t="s">
        <v>270</v>
      </c>
      <c r="AS96" s="10" t="s">
        <v>694</v>
      </c>
      <c r="AT96" s="10" t="s">
        <v>695</v>
      </c>
      <c r="AU96" s="10" t="s">
        <v>696</v>
      </c>
      <c r="AV96" s="10" t="s">
        <v>162</v>
      </c>
      <c r="AW96" s="10"/>
    </row>
    <row r="97" spans="1:49">
      <c r="A97" s="10" t="s">
        <v>697</v>
      </c>
      <c r="B97" s="21" t="s">
        <v>162</v>
      </c>
      <c r="C97" s="74" t="s">
        <v>163</v>
      </c>
      <c r="D97" s="74">
        <v>44825</v>
      </c>
      <c r="E97" s="10" t="s">
        <v>698</v>
      </c>
      <c r="F97" s="75" t="str">
        <f>VLOOKUP($E97,'Item Classification'!B:C,2,0)</f>
        <v>Naval guided surface-to-air missile (SAM)</v>
      </c>
      <c r="G97" s="10" t="str">
        <f>VLOOKUP($E97,'Item Classification'!B:D,3,0)</f>
        <v>Missile (Naval)</v>
      </c>
      <c r="H97" s="76">
        <f>VLOOKUP($E97,'Item Classification'!B:E,4,0)</f>
        <v>6</v>
      </c>
      <c r="I97" s="81">
        <v>600</v>
      </c>
      <c r="J97" s="182">
        <f>M97/I97</f>
        <v>934833.33333333337</v>
      </c>
      <c r="K97" s="81">
        <v>2024</v>
      </c>
      <c r="L97" s="81">
        <v>2029</v>
      </c>
      <c r="M97" s="183">
        <v>560900000</v>
      </c>
      <c r="N97" s="10" t="s">
        <v>165</v>
      </c>
      <c r="O97" s="10" t="s">
        <v>162</v>
      </c>
      <c r="P97" s="10" t="s">
        <v>163</v>
      </c>
      <c r="Q97" s="77">
        <v>33</v>
      </c>
      <c r="R97" s="77">
        <v>0</v>
      </c>
      <c r="S97" s="77">
        <v>0</v>
      </c>
      <c r="T97" s="77">
        <v>0</v>
      </c>
      <c r="U97" s="77">
        <v>1</v>
      </c>
      <c r="V97" s="77">
        <v>0</v>
      </c>
      <c r="W97" s="77">
        <v>1</v>
      </c>
      <c r="X97" s="77">
        <v>1</v>
      </c>
      <c r="Y97" s="10" t="s">
        <v>699</v>
      </c>
      <c r="Z97" s="10" t="s">
        <v>163</v>
      </c>
      <c r="AA97" s="10" t="s">
        <v>162</v>
      </c>
      <c r="AB97" s="10" t="s">
        <v>700</v>
      </c>
      <c r="AC97" s="10" t="s">
        <v>701</v>
      </c>
      <c r="AD97" s="21" t="s">
        <v>702</v>
      </c>
      <c r="AE97" s="21" t="s">
        <v>162</v>
      </c>
      <c r="AF97" s="10" t="s">
        <v>218</v>
      </c>
      <c r="AG97" s="10" t="s">
        <v>162</v>
      </c>
      <c r="AH97" s="21" t="s">
        <v>162</v>
      </c>
      <c r="AI97" s="21" t="s">
        <v>162</v>
      </c>
      <c r="AJ97" s="21" t="s">
        <v>162</v>
      </c>
      <c r="AK97" s="21" t="s">
        <v>162</v>
      </c>
      <c r="AL97" s="21" t="s">
        <v>162</v>
      </c>
      <c r="AM97" s="21" t="s">
        <v>162</v>
      </c>
      <c r="AN97" s="21" t="s">
        <v>162</v>
      </c>
      <c r="AO97" s="10" t="s">
        <v>162</v>
      </c>
      <c r="AP97" s="21" t="s">
        <v>162</v>
      </c>
      <c r="AQ97" s="10" t="s">
        <v>703</v>
      </c>
      <c r="AR97" s="10" t="s">
        <v>704</v>
      </c>
      <c r="AS97" s="10" t="s">
        <v>162</v>
      </c>
      <c r="AT97" s="10" t="s">
        <v>705</v>
      </c>
      <c r="AU97" s="10" t="s">
        <v>706</v>
      </c>
      <c r="AV97" s="10" t="s">
        <v>162</v>
      </c>
      <c r="AW97" s="10"/>
    </row>
    <row r="98" spans="1:49">
      <c r="A98" s="10" t="s">
        <v>707</v>
      </c>
      <c r="B98" s="21" t="s">
        <v>162</v>
      </c>
      <c r="C98" s="74" t="s">
        <v>163</v>
      </c>
      <c r="D98" s="74">
        <v>44825</v>
      </c>
      <c r="E98" s="10" t="s">
        <v>708</v>
      </c>
      <c r="F98" s="75" t="str">
        <f>VLOOKUP($E98,'Item Classification'!B:C,2,0)</f>
        <v>Naval guided surface-to-air missile (SAM) - additional services</v>
      </c>
      <c r="G98" s="10" t="str">
        <f>VLOOKUP($E98,'Item Classification'!B:D,3,0)</f>
        <v>Missile (Naval)</v>
      </c>
      <c r="H98" s="76">
        <f>VLOOKUP($E98,'Item Classification'!B:E,4,0)</f>
        <v>6</v>
      </c>
      <c r="I98" s="81" t="s">
        <v>162</v>
      </c>
      <c r="J98" s="81" t="s">
        <v>162</v>
      </c>
      <c r="K98" s="81">
        <v>2024</v>
      </c>
      <c r="L98" s="81">
        <v>2029</v>
      </c>
      <c r="M98" s="183">
        <v>76100000</v>
      </c>
      <c r="N98" s="10" t="s">
        <v>165</v>
      </c>
      <c r="O98" s="10" t="s">
        <v>162</v>
      </c>
      <c r="P98" s="10" t="s">
        <v>163</v>
      </c>
      <c r="Q98" s="77">
        <v>33</v>
      </c>
      <c r="R98" s="77">
        <v>0</v>
      </c>
      <c r="S98" s="77">
        <v>0</v>
      </c>
      <c r="T98" s="77">
        <v>0</v>
      </c>
      <c r="U98" s="77">
        <v>1</v>
      </c>
      <c r="V98" s="77">
        <v>0</v>
      </c>
      <c r="W98" s="77">
        <v>1</v>
      </c>
      <c r="X98" s="77">
        <v>1</v>
      </c>
      <c r="Y98" s="10" t="s">
        <v>699</v>
      </c>
      <c r="Z98" s="10" t="s">
        <v>163</v>
      </c>
      <c r="AA98" s="10" t="s">
        <v>162</v>
      </c>
      <c r="AB98" s="10" t="s">
        <v>700</v>
      </c>
      <c r="AC98" s="10" t="s">
        <v>701</v>
      </c>
      <c r="AD98" s="21" t="s">
        <v>702</v>
      </c>
      <c r="AE98" s="21" t="s">
        <v>162</v>
      </c>
      <c r="AF98" s="10" t="s">
        <v>218</v>
      </c>
      <c r="AG98" s="10" t="s">
        <v>162</v>
      </c>
      <c r="AH98" s="21" t="s">
        <v>162</v>
      </c>
      <c r="AI98" s="21" t="s">
        <v>162</v>
      </c>
      <c r="AJ98" s="21" t="s">
        <v>162</v>
      </c>
      <c r="AK98" s="21" t="s">
        <v>162</v>
      </c>
      <c r="AL98" s="21" t="s">
        <v>162</v>
      </c>
      <c r="AM98" s="21" t="s">
        <v>162</v>
      </c>
      <c r="AN98" s="21" t="s">
        <v>162</v>
      </c>
      <c r="AO98" s="10" t="s">
        <v>162</v>
      </c>
      <c r="AP98" s="21" t="s">
        <v>162</v>
      </c>
      <c r="AQ98" s="10" t="s">
        <v>703</v>
      </c>
      <c r="AR98" s="10" t="s">
        <v>704</v>
      </c>
      <c r="AS98" s="10" t="s">
        <v>162</v>
      </c>
      <c r="AT98" s="10" t="s">
        <v>706</v>
      </c>
      <c r="AU98" s="10" t="s">
        <v>162</v>
      </c>
      <c r="AV98" s="10" t="s">
        <v>162</v>
      </c>
      <c r="AW98" s="10"/>
    </row>
    <row r="99" spans="1:49">
      <c r="A99" s="10" t="s">
        <v>709</v>
      </c>
      <c r="B99" s="21" t="s">
        <v>162</v>
      </c>
      <c r="C99" s="74" t="s">
        <v>163</v>
      </c>
      <c r="D99" s="74">
        <v>44854</v>
      </c>
      <c r="E99" s="79" t="s">
        <v>710</v>
      </c>
      <c r="F99" s="75" t="str">
        <f>VLOOKUP($E99,'Item Classification'!B:C,2,0)</f>
        <v>Communication equipment</v>
      </c>
      <c r="G99" s="10" t="str">
        <f>VLOOKUP($E99,'Item Classification'!B:D,3,0)</f>
        <v>Modernisation</v>
      </c>
      <c r="H99" s="76">
        <f>VLOOKUP($E99,'Item Classification'!B:E,4,0)</f>
        <v>13</v>
      </c>
      <c r="I99" s="81">
        <v>3665</v>
      </c>
      <c r="J99" s="182">
        <f>M99/I99</f>
        <v>2046.3847203274215</v>
      </c>
      <c r="K99" s="81">
        <v>2022</v>
      </c>
      <c r="L99" s="81">
        <v>2022</v>
      </c>
      <c r="M99" s="183">
        <v>7500000</v>
      </c>
      <c r="N99" s="10" t="s">
        <v>165</v>
      </c>
      <c r="O99" s="10" t="s">
        <v>162</v>
      </c>
      <c r="P99" s="10" t="s">
        <v>163</v>
      </c>
      <c r="Q99" s="77">
        <v>34</v>
      </c>
      <c r="R99" s="77">
        <v>0</v>
      </c>
      <c r="S99" s="77">
        <v>0</v>
      </c>
      <c r="T99" s="77">
        <v>0</v>
      </c>
      <c r="U99" s="77" t="s">
        <v>162</v>
      </c>
      <c r="V99" s="77" t="s">
        <v>162</v>
      </c>
      <c r="W99" s="77" t="s">
        <v>162</v>
      </c>
      <c r="X99" s="77" t="s">
        <v>162</v>
      </c>
      <c r="Y99" s="10" t="s">
        <v>162</v>
      </c>
      <c r="Z99" s="10" t="s">
        <v>162</v>
      </c>
      <c r="AA99" s="10" t="s">
        <v>162</v>
      </c>
      <c r="AB99" s="10" t="s">
        <v>162</v>
      </c>
      <c r="AC99" s="10" t="s">
        <v>162</v>
      </c>
      <c r="AD99" s="21" t="s">
        <v>162</v>
      </c>
      <c r="AE99" s="21" t="s">
        <v>162</v>
      </c>
      <c r="AF99" s="10" t="s">
        <v>162</v>
      </c>
      <c r="AG99" s="10" t="s">
        <v>162</v>
      </c>
      <c r="AH99" s="21" t="s">
        <v>162</v>
      </c>
      <c r="AI99" s="21" t="s">
        <v>162</v>
      </c>
      <c r="AJ99" s="21" t="s">
        <v>162</v>
      </c>
      <c r="AK99" s="21" t="s">
        <v>162</v>
      </c>
      <c r="AL99" s="21" t="s">
        <v>162</v>
      </c>
      <c r="AM99" s="21" t="s">
        <v>162</v>
      </c>
      <c r="AN99" s="21" t="s">
        <v>162</v>
      </c>
      <c r="AO99" s="10" t="s">
        <v>162</v>
      </c>
      <c r="AP99" s="21" t="s">
        <v>162</v>
      </c>
      <c r="AQ99" s="10" t="s">
        <v>711</v>
      </c>
      <c r="AR99" s="10" t="s">
        <v>162</v>
      </c>
      <c r="AS99" s="10" t="s">
        <v>162</v>
      </c>
      <c r="AT99" s="10" t="s">
        <v>712</v>
      </c>
      <c r="AU99" s="10" t="s">
        <v>162</v>
      </c>
      <c r="AV99" s="10" t="s">
        <v>162</v>
      </c>
      <c r="AW99" s="10"/>
    </row>
    <row r="100" spans="1:49">
      <c r="A100" s="10" t="s">
        <v>713</v>
      </c>
      <c r="B100" s="21" t="s">
        <v>162</v>
      </c>
      <c r="C100" s="74" t="s">
        <v>163</v>
      </c>
      <c r="D100" s="74">
        <v>44854</v>
      </c>
      <c r="E100" s="10" t="s">
        <v>714</v>
      </c>
      <c r="F100" s="75" t="str">
        <f>VLOOKUP($E100,'Item Classification'!B:C,2,0)</f>
        <v>155mm howitzer ammunition development</v>
      </c>
      <c r="G100" s="10" t="str">
        <f>VLOOKUP($E100,'Item Classification'!B:D,3,0)</f>
        <v>Development - Ammunition</v>
      </c>
      <c r="H100" s="76">
        <f>VLOOKUP($E100,'Item Classification'!B:E,4,0)</f>
        <v>15</v>
      </c>
      <c r="I100" s="81" t="s">
        <v>162</v>
      </c>
      <c r="J100" s="81" t="s">
        <v>162</v>
      </c>
      <c r="K100" s="81">
        <v>2022</v>
      </c>
      <c r="L100" s="81">
        <v>2027</v>
      </c>
      <c r="M100" s="183">
        <v>97400000</v>
      </c>
      <c r="N100" s="10" t="s">
        <v>165</v>
      </c>
      <c r="O100" s="10" t="s">
        <v>162</v>
      </c>
      <c r="P100" s="10" t="s">
        <v>163</v>
      </c>
      <c r="Q100" s="77">
        <v>34</v>
      </c>
      <c r="R100" s="77">
        <v>0</v>
      </c>
      <c r="S100" s="77">
        <v>0</v>
      </c>
      <c r="T100" s="77">
        <v>0</v>
      </c>
      <c r="U100" s="77">
        <v>1</v>
      </c>
      <c r="V100" s="77">
        <v>0</v>
      </c>
      <c r="W100" s="77">
        <v>0</v>
      </c>
      <c r="X100" s="77">
        <v>0</v>
      </c>
      <c r="Y100" s="10" t="s">
        <v>715</v>
      </c>
      <c r="Z100" s="10" t="s">
        <v>163</v>
      </c>
      <c r="AA100" s="10" t="s">
        <v>163</v>
      </c>
      <c r="AB100" s="10" t="s">
        <v>268</v>
      </c>
      <c r="AC100" s="10" t="s">
        <v>700</v>
      </c>
      <c r="AD100" s="21" t="s">
        <v>541</v>
      </c>
      <c r="AE100" s="21" t="s">
        <v>162</v>
      </c>
      <c r="AF100" s="10" t="s">
        <v>162</v>
      </c>
      <c r="AG100" s="10" t="s">
        <v>162</v>
      </c>
      <c r="AH100" s="21" t="s">
        <v>162</v>
      </c>
      <c r="AI100" s="21" t="s">
        <v>162</v>
      </c>
      <c r="AJ100" s="21" t="s">
        <v>162</v>
      </c>
      <c r="AK100" s="21" t="s">
        <v>162</v>
      </c>
      <c r="AL100" s="21" t="s">
        <v>162</v>
      </c>
      <c r="AM100" s="21" t="s">
        <v>162</v>
      </c>
      <c r="AN100" s="21" t="s">
        <v>162</v>
      </c>
      <c r="AO100" s="10" t="s">
        <v>162</v>
      </c>
      <c r="AP100" s="21" t="s">
        <v>162</v>
      </c>
      <c r="AQ100" s="10" t="s">
        <v>711</v>
      </c>
      <c r="AR100" s="10" t="s">
        <v>716</v>
      </c>
      <c r="AS100" s="10" t="s">
        <v>162</v>
      </c>
      <c r="AT100" s="10" t="s">
        <v>717</v>
      </c>
      <c r="AU100" s="10" t="s">
        <v>162</v>
      </c>
      <c r="AV100" s="10" t="s">
        <v>162</v>
      </c>
      <c r="AW100" s="10"/>
    </row>
    <row r="101" spans="1:49">
      <c r="A101" s="10" t="s">
        <v>718</v>
      </c>
      <c r="B101" s="10" t="s">
        <v>719</v>
      </c>
      <c r="C101" s="74" t="s">
        <v>163</v>
      </c>
      <c r="D101" s="74">
        <v>44895</v>
      </c>
      <c r="E101" s="10" t="s">
        <v>720</v>
      </c>
      <c r="F101" s="75" t="str">
        <f>VLOOKUP($E101,'Item Classification'!B:C,2,0)</f>
        <v xml:space="preserve">30mm infantry fighting vehicle ammunition </v>
      </c>
      <c r="G101" s="10" t="str">
        <f>VLOOKUP($E101,'Item Classification'!B:D,3,0)</f>
        <v>Ammunition</v>
      </c>
      <c r="H101" s="76">
        <f>VLOOKUP($E101,'Item Classification'!B:E,4,0)</f>
        <v>4</v>
      </c>
      <c r="I101" s="81">
        <v>25000</v>
      </c>
      <c r="J101" s="81" t="s">
        <v>162</v>
      </c>
      <c r="K101" s="81">
        <v>2022</v>
      </c>
      <c r="L101" s="81" t="s">
        <v>162</v>
      </c>
      <c r="M101" s="81" t="s">
        <v>162</v>
      </c>
      <c r="N101" s="10" t="s">
        <v>165</v>
      </c>
      <c r="O101" s="10" t="s">
        <v>162</v>
      </c>
      <c r="P101" s="10" t="s">
        <v>163</v>
      </c>
      <c r="Q101" s="77">
        <v>35</v>
      </c>
      <c r="R101" s="77">
        <v>1</v>
      </c>
      <c r="S101" s="77">
        <v>0</v>
      </c>
      <c r="T101" s="77">
        <v>0</v>
      </c>
      <c r="U101" s="77">
        <v>1</v>
      </c>
      <c r="V101" s="77">
        <v>0</v>
      </c>
      <c r="W101" s="77">
        <v>0</v>
      </c>
      <c r="X101" s="77">
        <v>0</v>
      </c>
      <c r="Y101" s="10" t="s">
        <v>268</v>
      </c>
      <c r="Z101" s="10" t="s">
        <v>163</v>
      </c>
      <c r="AA101" s="10" t="s">
        <v>162</v>
      </c>
      <c r="AB101" s="10" t="s">
        <v>162</v>
      </c>
      <c r="AC101" s="10" t="s">
        <v>162</v>
      </c>
      <c r="AD101" s="21" t="s">
        <v>162</v>
      </c>
      <c r="AE101" s="21" t="s">
        <v>162</v>
      </c>
      <c r="AF101" s="10" t="s">
        <v>162</v>
      </c>
      <c r="AG101" s="10" t="s">
        <v>162</v>
      </c>
      <c r="AH101" s="21" t="s">
        <v>162</v>
      </c>
      <c r="AI101" s="21" t="s">
        <v>162</v>
      </c>
      <c r="AJ101" s="21" t="s">
        <v>162</v>
      </c>
      <c r="AK101" s="21" t="s">
        <v>162</v>
      </c>
      <c r="AL101" s="21" t="s">
        <v>162</v>
      </c>
      <c r="AM101" s="21" t="s">
        <v>162</v>
      </c>
      <c r="AN101" s="21" t="s">
        <v>162</v>
      </c>
      <c r="AO101" s="10" t="s">
        <v>162</v>
      </c>
      <c r="AP101" s="21" t="s">
        <v>162</v>
      </c>
      <c r="AQ101" s="10" t="s">
        <v>721</v>
      </c>
      <c r="AR101" s="10" t="s">
        <v>722</v>
      </c>
      <c r="AS101" s="10" t="s">
        <v>162</v>
      </c>
      <c r="AT101" s="10" t="s">
        <v>723</v>
      </c>
      <c r="AU101" s="10" t="s">
        <v>724</v>
      </c>
      <c r="AV101" s="10" t="s">
        <v>162</v>
      </c>
      <c r="AW101" s="10"/>
    </row>
    <row r="102" spans="1:49">
      <c r="A102" s="10" t="s">
        <v>725</v>
      </c>
      <c r="B102" s="21" t="s">
        <v>162</v>
      </c>
      <c r="C102" s="74" t="s">
        <v>163</v>
      </c>
      <c r="D102" s="74">
        <v>44895</v>
      </c>
      <c r="E102" s="10" t="s">
        <v>726</v>
      </c>
      <c r="F102" s="75" t="str">
        <f>VLOOKUP($E102,'Item Classification'!B:C,2,0)</f>
        <v>Communication equipment</v>
      </c>
      <c r="G102" s="10" t="str">
        <f>VLOOKUP($E102,'Item Classification'!B:D,3,0)</f>
        <v>Modernisation</v>
      </c>
      <c r="H102" s="76">
        <f>VLOOKUP($E102,'Item Classification'!B:E,4,0)</f>
        <v>13</v>
      </c>
      <c r="I102" s="81" t="s">
        <v>162</v>
      </c>
      <c r="J102" s="81" t="s">
        <v>162</v>
      </c>
      <c r="K102" s="81">
        <v>2022</v>
      </c>
      <c r="L102" s="81">
        <v>2030</v>
      </c>
      <c r="M102" s="183">
        <v>23200000</v>
      </c>
      <c r="N102" s="10" t="s">
        <v>165</v>
      </c>
      <c r="O102" s="10" t="s">
        <v>162</v>
      </c>
      <c r="P102" s="10" t="s">
        <v>163</v>
      </c>
      <c r="Q102" s="77">
        <v>35</v>
      </c>
      <c r="R102" s="77">
        <v>1</v>
      </c>
      <c r="S102" s="77">
        <v>0</v>
      </c>
      <c r="T102" s="77">
        <v>0</v>
      </c>
      <c r="U102" s="77">
        <v>1</v>
      </c>
      <c r="V102" s="77">
        <v>0</v>
      </c>
      <c r="W102" s="77">
        <v>1</v>
      </c>
      <c r="X102" s="77">
        <v>1</v>
      </c>
      <c r="Y102" s="10" t="s">
        <v>727</v>
      </c>
      <c r="Z102" s="10" t="s">
        <v>163</v>
      </c>
      <c r="AA102" s="10" t="s">
        <v>163</v>
      </c>
      <c r="AB102" s="10" t="s">
        <v>728</v>
      </c>
      <c r="AC102" s="10" t="s">
        <v>162</v>
      </c>
      <c r="AD102" s="21" t="s">
        <v>162</v>
      </c>
      <c r="AE102" s="21" t="s">
        <v>162</v>
      </c>
      <c r="AF102" s="10" t="s">
        <v>167</v>
      </c>
      <c r="AG102" s="10" t="s">
        <v>162</v>
      </c>
      <c r="AH102" s="21" t="s">
        <v>162</v>
      </c>
      <c r="AI102" s="21" t="s">
        <v>162</v>
      </c>
      <c r="AJ102" s="21" t="s">
        <v>162</v>
      </c>
      <c r="AK102" s="21" t="s">
        <v>162</v>
      </c>
      <c r="AL102" s="21" t="s">
        <v>162</v>
      </c>
      <c r="AM102" s="21" t="s">
        <v>162</v>
      </c>
      <c r="AN102" s="21" t="s">
        <v>162</v>
      </c>
      <c r="AO102" s="10" t="s">
        <v>162</v>
      </c>
      <c r="AP102" s="21" t="s">
        <v>162</v>
      </c>
      <c r="AQ102" s="10" t="s">
        <v>721</v>
      </c>
      <c r="AR102" s="10" t="s">
        <v>729</v>
      </c>
      <c r="AS102" s="10" t="s">
        <v>730</v>
      </c>
      <c r="AT102" s="10" t="s">
        <v>731</v>
      </c>
      <c r="AU102" s="10" t="s">
        <v>732</v>
      </c>
      <c r="AV102" s="10" t="s">
        <v>733</v>
      </c>
      <c r="AW102" s="10" t="s">
        <v>162</v>
      </c>
    </row>
    <row r="103" spans="1:49">
      <c r="A103" s="10" t="s">
        <v>734</v>
      </c>
      <c r="B103" s="21" t="s">
        <v>194</v>
      </c>
      <c r="C103" s="74" t="s">
        <v>163</v>
      </c>
      <c r="D103" s="74">
        <v>44895</v>
      </c>
      <c r="E103" s="10" t="s">
        <v>735</v>
      </c>
      <c r="F103" s="75" t="str">
        <f>VLOOKUP($E103,'Item Classification'!B:C,2,0)</f>
        <v>Communication and digitalisation</v>
      </c>
      <c r="G103" s="10" t="str">
        <f>VLOOKUP($E103,'Item Classification'!B:D,3,0)</f>
        <v>Modernisation</v>
      </c>
      <c r="H103" s="76">
        <f>VLOOKUP($E103,'Item Classification'!B:E,4,0)</f>
        <v>13</v>
      </c>
      <c r="I103" s="81">
        <v>5</v>
      </c>
      <c r="J103" s="182">
        <f>M103/I103</f>
        <v>10000000</v>
      </c>
      <c r="K103" s="81">
        <v>2023</v>
      </c>
      <c r="L103" s="81">
        <v>2027</v>
      </c>
      <c r="M103" s="183">
        <v>50000000</v>
      </c>
      <c r="N103" s="10" t="s">
        <v>165</v>
      </c>
      <c r="O103" s="10" t="s">
        <v>162</v>
      </c>
      <c r="P103" s="10" t="s">
        <v>163</v>
      </c>
      <c r="Q103" s="77">
        <v>35</v>
      </c>
      <c r="R103" s="77">
        <v>1</v>
      </c>
      <c r="S103" s="77">
        <v>1</v>
      </c>
      <c r="T103" s="77">
        <v>0</v>
      </c>
      <c r="U103" s="77">
        <v>1</v>
      </c>
      <c r="V103" s="77">
        <v>0</v>
      </c>
      <c r="W103" s="77">
        <v>0</v>
      </c>
      <c r="X103" s="77">
        <v>0</v>
      </c>
      <c r="Y103" s="10" t="s">
        <v>194</v>
      </c>
      <c r="Z103" s="10" t="s">
        <v>163</v>
      </c>
      <c r="AA103" s="10" t="s">
        <v>162</v>
      </c>
      <c r="AB103" s="10" t="s">
        <v>162</v>
      </c>
      <c r="AC103" s="10" t="s">
        <v>162</v>
      </c>
      <c r="AD103" s="21" t="s">
        <v>162</v>
      </c>
      <c r="AE103" s="21" t="s">
        <v>162</v>
      </c>
      <c r="AF103" s="10" t="s">
        <v>162</v>
      </c>
      <c r="AG103" s="10" t="s">
        <v>162</v>
      </c>
      <c r="AH103" s="21" t="s">
        <v>162</v>
      </c>
      <c r="AI103" s="21" t="s">
        <v>162</v>
      </c>
      <c r="AJ103" s="21" t="s">
        <v>162</v>
      </c>
      <c r="AK103" s="21" t="s">
        <v>162</v>
      </c>
      <c r="AL103" s="21" t="s">
        <v>162</v>
      </c>
      <c r="AM103" s="21" t="s">
        <v>162</v>
      </c>
      <c r="AN103" s="21" t="s">
        <v>162</v>
      </c>
      <c r="AO103" s="10" t="s">
        <v>162</v>
      </c>
      <c r="AP103" s="21" t="s">
        <v>162</v>
      </c>
      <c r="AQ103" s="10" t="s">
        <v>721</v>
      </c>
      <c r="AR103" s="10" t="s">
        <v>162</v>
      </c>
      <c r="AS103" s="10" t="s">
        <v>162</v>
      </c>
      <c r="AT103" s="10" t="s">
        <v>736</v>
      </c>
      <c r="AU103" s="10" t="s">
        <v>162</v>
      </c>
      <c r="AV103" s="10" t="s">
        <v>162</v>
      </c>
      <c r="AW103" s="10"/>
    </row>
    <row r="104" spans="1:49">
      <c r="A104" s="10" t="s">
        <v>737</v>
      </c>
      <c r="B104" s="21" t="s">
        <v>162</v>
      </c>
      <c r="C104" s="74" t="s">
        <v>163</v>
      </c>
      <c r="D104" s="74">
        <v>44895</v>
      </c>
      <c r="E104" s="10" t="s">
        <v>738</v>
      </c>
      <c r="F104" s="75" t="str">
        <f>VLOOKUP($E104,'Item Classification'!B:C,2,0)</f>
        <v>Communication equipment</v>
      </c>
      <c r="G104" s="10" t="str">
        <f>VLOOKUP($E104,'Item Classification'!B:D,3,0)</f>
        <v>Modernisation</v>
      </c>
      <c r="H104" s="76">
        <f>VLOOKUP($E104,'Item Classification'!B:E,4,0)</f>
        <v>13</v>
      </c>
      <c r="I104" s="81" t="s">
        <v>162</v>
      </c>
      <c r="J104" s="81" t="s">
        <v>162</v>
      </c>
      <c r="K104" s="81" t="s">
        <v>162</v>
      </c>
      <c r="L104" s="81" t="s">
        <v>162</v>
      </c>
      <c r="M104" s="183">
        <v>82250000</v>
      </c>
      <c r="N104" s="10" t="s">
        <v>165</v>
      </c>
      <c r="O104" s="10" t="s">
        <v>162</v>
      </c>
      <c r="P104" s="10" t="s">
        <v>163</v>
      </c>
      <c r="Q104" s="77">
        <v>35</v>
      </c>
      <c r="R104" s="77">
        <v>1</v>
      </c>
      <c r="S104" s="77">
        <v>0</v>
      </c>
      <c r="T104" s="77">
        <v>0</v>
      </c>
      <c r="U104" s="77" t="s">
        <v>162</v>
      </c>
      <c r="V104" s="77" t="s">
        <v>162</v>
      </c>
      <c r="W104" s="77" t="s">
        <v>162</v>
      </c>
      <c r="X104" s="77" t="s">
        <v>162</v>
      </c>
      <c r="Y104" s="10" t="s">
        <v>162</v>
      </c>
      <c r="Z104" s="10" t="s">
        <v>162</v>
      </c>
      <c r="AA104" s="10" t="s">
        <v>162</v>
      </c>
      <c r="AB104" s="10" t="s">
        <v>162</v>
      </c>
      <c r="AC104" s="10" t="s">
        <v>162</v>
      </c>
      <c r="AD104" s="21" t="s">
        <v>162</v>
      </c>
      <c r="AE104" s="21" t="s">
        <v>162</v>
      </c>
      <c r="AF104" s="10" t="s">
        <v>162</v>
      </c>
      <c r="AG104" s="10" t="s">
        <v>162</v>
      </c>
      <c r="AH104" s="21" t="s">
        <v>162</v>
      </c>
      <c r="AI104" s="21" t="s">
        <v>162</v>
      </c>
      <c r="AJ104" s="21" t="s">
        <v>162</v>
      </c>
      <c r="AK104" s="21" t="s">
        <v>162</v>
      </c>
      <c r="AL104" s="21" t="s">
        <v>162</v>
      </c>
      <c r="AM104" s="21" t="s">
        <v>162</v>
      </c>
      <c r="AN104" s="21" t="s">
        <v>162</v>
      </c>
      <c r="AO104" s="10" t="s">
        <v>162</v>
      </c>
      <c r="AP104" s="21" t="s">
        <v>162</v>
      </c>
      <c r="AQ104" s="10" t="s">
        <v>721</v>
      </c>
      <c r="AR104" s="10" t="s">
        <v>162</v>
      </c>
      <c r="AS104" s="10" t="s">
        <v>162</v>
      </c>
      <c r="AT104" s="10" t="s">
        <v>739</v>
      </c>
      <c r="AU104" s="10" t="s">
        <v>162</v>
      </c>
      <c r="AV104" s="10" t="s">
        <v>162</v>
      </c>
      <c r="AW104" s="10"/>
    </row>
    <row r="105" spans="1:49">
      <c r="A105" s="10" t="s">
        <v>740</v>
      </c>
      <c r="B105" s="21" t="s">
        <v>162</v>
      </c>
      <c r="C105" s="74" t="s">
        <v>163</v>
      </c>
      <c r="D105" s="74">
        <v>44909</v>
      </c>
      <c r="E105" s="5" t="s">
        <v>741</v>
      </c>
      <c r="F105" s="75" t="str">
        <f>VLOOKUP($E105,'Item Classification'!B:C,2,0)</f>
        <v>Small Arms and Light Weapons (SALW)</v>
      </c>
      <c r="G105" s="10" t="str">
        <f>VLOOKUP($E105,'Item Classification'!B:D,3,0)</f>
        <v>Infantry</v>
      </c>
      <c r="H105" s="76">
        <f>VLOOKUP($E105,'Item Classification'!B:E,4,0)</f>
        <v>8</v>
      </c>
      <c r="I105" s="81">
        <v>118718</v>
      </c>
      <c r="J105" s="182">
        <f>M105/I105</f>
        <v>1760.4744015229367</v>
      </c>
      <c r="K105" s="81">
        <v>2024</v>
      </c>
      <c r="L105" s="81" t="s">
        <v>162</v>
      </c>
      <c r="M105" s="183">
        <v>209000000</v>
      </c>
      <c r="N105" s="10" t="s">
        <v>165</v>
      </c>
      <c r="O105" s="10" t="s">
        <v>162</v>
      </c>
      <c r="P105" s="10" t="s">
        <v>163</v>
      </c>
      <c r="Q105" s="77">
        <v>36</v>
      </c>
      <c r="R105" s="77">
        <v>0</v>
      </c>
      <c r="S105" s="77">
        <v>0</v>
      </c>
      <c r="T105" s="77">
        <v>0</v>
      </c>
      <c r="U105" s="77">
        <v>1</v>
      </c>
      <c r="V105" s="77">
        <v>0</v>
      </c>
      <c r="W105" s="77">
        <v>0</v>
      </c>
      <c r="X105" s="77">
        <v>0</v>
      </c>
      <c r="Y105" s="10" t="s">
        <v>742</v>
      </c>
      <c r="Z105" s="10" t="s">
        <v>163</v>
      </c>
      <c r="AA105" s="10" t="s">
        <v>163</v>
      </c>
      <c r="AB105" s="10" t="s">
        <v>162</v>
      </c>
      <c r="AC105" s="10" t="s">
        <v>162</v>
      </c>
      <c r="AD105" s="21" t="s">
        <v>162</v>
      </c>
      <c r="AE105" s="21" t="s">
        <v>162</v>
      </c>
      <c r="AF105" s="10" t="s">
        <v>162</v>
      </c>
      <c r="AG105" s="10" t="s">
        <v>162</v>
      </c>
      <c r="AH105" s="21" t="s">
        <v>162</v>
      </c>
      <c r="AI105" s="21" t="s">
        <v>162</v>
      </c>
      <c r="AJ105" s="21" t="s">
        <v>162</v>
      </c>
      <c r="AK105" s="21" t="s">
        <v>162</v>
      </c>
      <c r="AL105" s="21" t="s">
        <v>162</v>
      </c>
      <c r="AM105" s="21" t="s">
        <v>162</v>
      </c>
      <c r="AN105" s="21" t="s">
        <v>162</v>
      </c>
      <c r="AO105" s="10" t="s">
        <v>162</v>
      </c>
      <c r="AP105" s="21" t="s">
        <v>162</v>
      </c>
      <c r="AQ105" s="10" t="s">
        <v>743</v>
      </c>
      <c r="AR105" s="10" t="s">
        <v>744</v>
      </c>
      <c r="AS105" s="10" t="s">
        <v>745</v>
      </c>
      <c r="AT105" s="10" t="s">
        <v>746</v>
      </c>
      <c r="AU105" s="10" t="s">
        <v>162</v>
      </c>
      <c r="AV105" s="10" t="s">
        <v>162</v>
      </c>
      <c r="AW105" s="10"/>
    </row>
    <row r="106" spans="1:49">
      <c r="A106" s="10" t="s">
        <v>747</v>
      </c>
      <c r="B106" s="10" t="s">
        <v>483</v>
      </c>
      <c r="C106" s="74" t="s">
        <v>163</v>
      </c>
      <c r="D106" s="74">
        <v>44909</v>
      </c>
      <c r="E106" s="10" t="s">
        <v>484</v>
      </c>
      <c r="F106" s="75" t="str">
        <f>VLOOKUP($E106,'Item Classification'!B:C,2,0)</f>
        <v>Infantry fighting vehicle (IFV)</v>
      </c>
      <c r="G106" s="10" t="str">
        <f>VLOOKUP($E106,'Item Classification'!B:D,3,0)</f>
        <v>Armoured vehicle</v>
      </c>
      <c r="H106" s="76">
        <f>VLOOKUP($E106,'Item Classification'!B:E,4,0)</f>
        <v>2</v>
      </c>
      <c r="I106" s="81">
        <v>143</v>
      </c>
      <c r="J106" s="182">
        <f>M106/I106</f>
        <v>5944055.9440559437</v>
      </c>
      <c r="K106" s="81" t="s">
        <v>162</v>
      </c>
      <c r="L106" s="81">
        <v>2029</v>
      </c>
      <c r="M106" s="183">
        <v>850000000</v>
      </c>
      <c r="N106" s="10" t="s">
        <v>665</v>
      </c>
      <c r="O106" s="10" t="s">
        <v>162</v>
      </c>
      <c r="P106" s="10" t="s">
        <v>163</v>
      </c>
      <c r="Q106" s="77">
        <v>36</v>
      </c>
      <c r="R106" s="77">
        <v>1</v>
      </c>
      <c r="S106" s="77">
        <v>0</v>
      </c>
      <c r="T106" s="77">
        <v>0</v>
      </c>
      <c r="U106" s="77">
        <v>1</v>
      </c>
      <c r="V106" s="77">
        <v>0</v>
      </c>
      <c r="W106" s="77">
        <v>0</v>
      </c>
      <c r="X106" s="77">
        <v>0</v>
      </c>
      <c r="Y106" s="10" t="s">
        <v>268</v>
      </c>
      <c r="Z106" s="21" t="s">
        <v>163</v>
      </c>
      <c r="AA106" s="21" t="s">
        <v>163</v>
      </c>
      <c r="AB106" s="10" t="s">
        <v>485</v>
      </c>
      <c r="AC106" s="10" t="s">
        <v>162</v>
      </c>
      <c r="AD106" s="21" t="s">
        <v>162</v>
      </c>
      <c r="AE106" s="21" t="s">
        <v>162</v>
      </c>
      <c r="AF106" s="10" t="s">
        <v>162</v>
      </c>
      <c r="AG106" s="10" t="s">
        <v>162</v>
      </c>
      <c r="AH106" s="21" t="s">
        <v>162</v>
      </c>
      <c r="AI106" s="21" t="s">
        <v>162</v>
      </c>
      <c r="AJ106" s="21" t="s">
        <v>162</v>
      </c>
      <c r="AK106" s="21" t="s">
        <v>162</v>
      </c>
      <c r="AL106" s="21" t="s">
        <v>162</v>
      </c>
      <c r="AM106" s="21" t="s">
        <v>162</v>
      </c>
      <c r="AN106" s="21" t="s">
        <v>162</v>
      </c>
      <c r="AO106" s="10" t="s">
        <v>162</v>
      </c>
      <c r="AP106" s="21" t="s">
        <v>162</v>
      </c>
      <c r="AQ106" s="10" t="s">
        <v>743</v>
      </c>
      <c r="AR106" s="10" t="s">
        <v>744</v>
      </c>
      <c r="AS106" s="10" t="s">
        <v>748</v>
      </c>
      <c r="AT106" s="10" t="s">
        <v>749</v>
      </c>
      <c r="AU106" s="10" t="s">
        <v>162</v>
      </c>
      <c r="AV106" s="10" t="s">
        <v>162</v>
      </c>
      <c r="AW106" s="10"/>
    </row>
    <row r="107" spans="1:49">
      <c r="A107" s="10" t="s">
        <v>750</v>
      </c>
      <c r="B107" s="10" t="s">
        <v>751</v>
      </c>
      <c r="C107" s="74" t="s">
        <v>163</v>
      </c>
      <c r="D107" s="74">
        <v>44909</v>
      </c>
      <c r="E107" s="10" t="s">
        <v>752</v>
      </c>
      <c r="F107" s="75" t="str">
        <f>VLOOKUP($E107,'Item Classification'!B:C,2,0)</f>
        <v>All-terrain vehicle</v>
      </c>
      <c r="G107" s="10" t="str">
        <f>VLOOKUP($E107,'Item Classification'!B:D,3,0)</f>
        <v>Armoured vehicle</v>
      </c>
      <c r="H107" s="76">
        <f>VLOOKUP($E107,'Item Classification'!B:E,4,0)</f>
        <v>2</v>
      </c>
      <c r="I107" s="81">
        <v>140</v>
      </c>
      <c r="J107" s="182">
        <f>M107/I107</f>
        <v>2892857.1428571427</v>
      </c>
      <c r="K107" s="81">
        <v>2025</v>
      </c>
      <c r="L107" s="81">
        <v>2028</v>
      </c>
      <c r="M107" s="183">
        <v>405000000</v>
      </c>
      <c r="N107" s="10" t="s">
        <v>665</v>
      </c>
      <c r="O107" s="10" t="s">
        <v>162</v>
      </c>
      <c r="P107" s="10" t="s">
        <v>163</v>
      </c>
      <c r="Q107" s="77">
        <v>36</v>
      </c>
      <c r="R107" s="77">
        <v>1</v>
      </c>
      <c r="S107" s="77">
        <v>0</v>
      </c>
      <c r="T107" s="77">
        <v>0</v>
      </c>
      <c r="U107" s="77">
        <v>1</v>
      </c>
      <c r="V107" s="77">
        <v>1</v>
      </c>
      <c r="W107" s="77">
        <v>0</v>
      </c>
      <c r="X107" s="77">
        <v>0</v>
      </c>
      <c r="Y107" s="10" t="s">
        <v>753</v>
      </c>
      <c r="Z107" s="10" t="s">
        <v>232</v>
      </c>
      <c r="AA107" s="10" t="s">
        <v>232</v>
      </c>
      <c r="AB107" s="10" t="s">
        <v>162</v>
      </c>
      <c r="AC107" s="10" t="s">
        <v>162</v>
      </c>
      <c r="AD107" s="21" t="s">
        <v>162</v>
      </c>
      <c r="AE107" s="21" t="s">
        <v>162</v>
      </c>
      <c r="AF107" s="10" t="s">
        <v>162</v>
      </c>
      <c r="AG107" s="10" t="s">
        <v>162</v>
      </c>
      <c r="AH107" s="21" t="s">
        <v>162</v>
      </c>
      <c r="AI107" s="21" t="s">
        <v>162</v>
      </c>
      <c r="AJ107" s="21" t="s">
        <v>162</v>
      </c>
      <c r="AK107" s="21" t="s">
        <v>162</v>
      </c>
      <c r="AL107" s="21" t="s">
        <v>162</v>
      </c>
      <c r="AM107" s="21" t="s">
        <v>162</v>
      </c>
      <c r="AN107" s="21" t="s">
        <v>162</v>
      </c>
      <c r="AO107" s="10" t="s">
        <v>162</v>
      </c>
      <c r="AP107" s="21" t="s">
        <v>162</v>
      </c>
      <c r="AQ107" s="10" t="s">
        <v>743</v>
      </c>
      <c r="AR107" s="10" t="s">
        <v>744</v>
      </c>
      <c r="AS107" s="10" t="s">
        <v>754</v>
      </c>
      <c r="AT107" s="10" t="s">
        <v>755</v>
      </c>
      <c r="AU107" s="10" t="s">
        <v>162</v>
      </c>
      <c r="AV107" s="10" t="s">
        <v>162</v>
      </c>
      <c r="AW107" s="10"/>
    </row>
    <row r="108" spans="1:49">
      <c r="A108" s="10" t="s">
        <v>756</v>
      </c>
      <c r="B108" s="21" t="s">
        <v>162</v>
      </c>
      <c r="C108" s="74" t="s">
        <v>163</v>
      </c>
      <c r="D108" s="74">
        <v>44909</v>
      </c>
      <c r="E108" s="10" t="s">
        <v>757</v>
      </c>
      <c r="F108" s="75" t="str">
        <f>VLOOKUP($E108,'Item Classification'!B:C,2,0)</f>
        <v>Communication equipment</v>
      </c>
      <c r="G108" s="10" t="str">
        <f>VLOOKUP($E108,'Item Classification'!B:D,3,0)</f>
        <v>Modernisation</v>
      </c>
      <c r="H108" s="76">
        <f>VLOOKUP($E108,'Item Classification'!B:E,4,0)</f>
        <v>13</v>
      </c>
      <c r="I108" s="81">
        <v>476</v>
      </c>
      <c r="J108" s="182">
        <f>M108/I108</f>
        <v>107142.85714285714</v>
      </c>
      <c r="K108" s="81" t="s">
        <v>162</v>
      </c>
      <c r="L108" s="81" t="s">
        <v>162</v>
      </c>
      <c r="M108" s="183">
        <v>51000000</v>
      </c>
      <c r="N108" s="10" t="s">
        <v>665</v>
      </c>
      <c r="O108" s="10" t="s">
        <v>162</v>
      </c>
      <c r="P108" s="10" t="s">
        <v>163</v>
      </c>
      <c r="Q108" s="77">
        <v>36</v>
      </c>
      <c r="R108" s="77">
        <v>0</v>
      </c>
      <c r="S108" s="77">
        <v>0</v>
      </c>
      <c r="T108" s="77">
        <v>0</v>
      </c>
      <c r="U108" s="77">
        <v>1</v>
      </c>
      <c r="V108" s="77">
        <v>0</v>
      </c>
      <c r="W108" s="77">
        <v>0</v>
      </c>
      <c r="X108" s="77">
        <v>0</v>
      </c>
      <c r="Y108" s="10" t="s">
        <v>268</v>
      </c>
      <c r="Z108" s="10" t="s">
        <v>163</v>
      </c>
      <c r="AA108" s="10" t="s">
        <v>162</v>
      </c>
      <c r="AB108" s="10" t="s">
        <v>162</v>
      </c>
      <c r="AC108" s="10" t="s">
        <v>162</v>
      </c>
      <c r="AD108" s="21" t="s">
        <v>162</v>
      </c>
      <c r="AE108" s="21" t="s">
        <v>162</v>
      </c>
      <c r="AF108" s="10" t="s">
        <v>162</v>
      </c>
      <c r="AG108" s="10" t="s">
        <v>162</v>
      </c>
      <c r="AH108" s="21" t="s">
        <v>162</v>
      </c>
      <c r="AI108" s="21" t="s">
        <v>162</v>
      </c>
      <c r="AJ108" s="21" t="s">
        <v>162</v>
      </c>
      <c r="AK108" s="21" t="s">
        <v>162</v>
      </c>
      <c r="AL108" s="21" t="s">
        <v>162</v>
      </c>
      <c r="AM108" s="21" t="s">
        <v>162</v>
      </c>
      <c r="AN108" s="21" t="s">
        <v>162</v>
      </c>
      <c r="AO108" s="10" t="s">
        <v>162</v>
      </c>
      <c r="AP108" s="21" t="s">
        <v>162</v>
      </c>
      <c r="AQ108" s="10" t="s">
        <v>743</v>
      </c>
      <c r="AR108" s="10" t="s">
        <v>744</v>
      </c>
      <c r="AS108" s="10" t="s">
        <v>758</v>
      </c>
      <c r="AT108" s="10" t="s">
        <v>759</v>
      </c>
      <c r="AU108" s="10" t="s">
        <v>760</v>
      </c>
      <c r="AV108" s="10" t="s">
        <v>162</v>
      </c>
      <c r="AW108" s="10"/>
    </row>
    <row r="109" spans="1:49">
      <c r="A109" s="10" t="s">
        <v>761</v>
      </c>
      <c r="B109" s="21" t="s">
        <v>162</v>
      </c>
      <c r="C109" s="74" t="s">
        <v>163</v>
      </c>
      <c r="D109" s="74">
        <v>44909</v>
      </c>
      <c r="E109" s="10" t="s">
        <v>762</v>
      </c>
      <c r="F109" s="75" t="str">
        <f>VLOOKUP($E109,'Item Classification'!B:C,2,0)</f>
        <v>Communication equipment</v>
      </c>
      <c r="G109" s="10" t="str">
        <f>VLOOKUP($E109,'Item Classification'!B:D,3,0)</f>
        <v>Modernisation</v>
      </c>
      <c r="H109" s="76">
        <f>VLOOKUP($E109,'Item Classification'!B:E,4,0)</f>
        <v>13</v>
      </c>
      <c r="I109" s="81" t="s">
        <v>162</v>
      </c>
      <c r="J109" s="81" t="s">
        <v>162</v>
      </c>
      <c r="K109" s="81">
        <v>2023</v>
      </c>
      <c r="L109" s="81">
        <v>2025</v>
      </c>
      <c r="M109" s="81" t="s">
        <v>162</v>
      </c>
      <c r="N109" s="10" t="s">
        <v>665</v>
      </c>
      <c r="O109" s="10" t="s">
        <v>162</v>
      </c>
      <c r="P109" s="10" t="s">
        <v>163</v>
      </c>
      <c r="Q109" s="77">
        <v>36</v>
      </c>
      <c r="R109" s="77">
        <v>1</v>
      </c>
      <c r="S109" s="77">
        <v>0</v>
      </c>
      <c r="T109" s="77">
        <v>0</v>
      </c>
      <c r="U109" s="77">
        <v>1</v>
      </c>
      <c r="V109" s="77">
        <v>0</v>
      </c>
      <c r="W109" s="77">
        <v>0</v>
      </c>
      <c r="X109" s="77">
        <v>0</v>
      </c>
      <c r="Y109" s="10" t="s">
        <v>763</v>
      </c>
      <c r="Z109" s="10" t="s">
        <v>163</v>
      </c>
      <c r="AA109" s="10" t="s">
        <v>162</v>
      </c>
      <c r="AB109" s="10" t="s">
        <v>162</v>
      </c>
      <c r="AC109" s="10" t="s">
        <v>162</v>
      </c>
      <c r="AD109" s="21" t="s">
        <v>162</v>
      </c>
      <c r="AE109" s="21" t="s">
        <v>162</v>
      </c>
      <c r="AF109" s="10" t="s">
        <v>162</v>
      </c>
      <c r="AG109" s="10" t="s">
        <v>162</v>
      </c>
      <c r="AH109" s="21" t="s">
        <v>162</v>
      </c>
      <c r="AI109" s="21" t="s">
        <v>162</v>
      </c>
      <c r="AJ109" s="21" t="s">
        <v>162</v>
      </c>
      <c r="AK109" s="21" t="s">
        <v>162</v>
      </c>
      <c r="AL109" s="21" t="s">
        <v>162</v>
      </c>
      <c r="AM109" s="21" t="s">
        <v>162</v>
      </c>
      <c r="AN109" s="21" t="s">
        <v>162</v>
      </c>
      <c r="AO109" s="10" t="s">
        <v>162</v>
      </c>
      <c r="AP109" s="21" t="s">
        <v>162</v>
      </c>
      <c r="AQ109" s="10" t="s">
        <v>743</v>
      </c>
      <c r="AR109" s="10" t="s">
        <v>744</v>
      </c>
      <c r="AS109" s="10" t="s">
        <v>764</v>
      </c>
      <c r="AT109" s="10" t="s">
        <v>765</v>
      </c>
      <c r="AU109" s="10" t="s">
        <v>162</v>
      </c>
      <c r="AV109" s="10" t="s">
        <v>162</v>
      </c>
      <c r="AW109" s="10"/>
    </row>
    <row r="110" spans="1:49">
      <c r="A110" s="10" t="s">
        <v>766</v>
      </c>
      <c r="B110" s="21" t="s">
        <v>162</v>
      </c>
      <c r="C110" s="74" t="s">
        <v>163</v>
      </c>
      <c r="D110" s="74">
        <v>44909</v>
      </c>
      <c r="E110" s="10" t="s">
        <v>767</v>
      </c>
      <c r="F110" s="75" t="str">
        <f>VLOOKUP($E110,'Item Classification'!B:C,2,0)</f>
        <v>Military transportation</v>
      </c>
      <c r="G110" s="10" t="str">
        <f>VLOOKUP($E110,'Item Classification'!B:D,3,0)</f>
        <v>Other</v>
      </c>
      <c r="H110" s="76">
        <f>VLOOKUP($E110,'Item Classification'!B:E,4,0)</f>
        <v>16</v>
      </c>
      <c r="I110" s="81" t="s">
        <v>162</v>
      </c>
      <c r="J110" s="81" t="s">
        <v>162</v>
      </c>
      <c r="K110" s="81">
        <v>2023</v>
      </c>
      <c r="L110" s="81">
        <v>2023</v>
      </c>
      <c r="M110" s="183">
        <v>69000000</v>
      </c>
      <c r="N110" s="10" t="s">
        <v>165</v>
      </c>
      <c r="O110" s="10" t="s">
        <v>162</v>
      </c>
      <c r="P110" s="10" t="s">
        <v>163</v>
      </c>
      <c r="Q110" s="77">
        <v>36</v>
      </c>
      <c r="R110" s="77">
        <v>1</v>
      </c>
      <c r="S110" s="77">
        <v>0</v>
      </c>
      <c r="T110" s="77">
        <v>0</v>
      </c>
      <c r="U110" s="77">
        <v>1</v>
      </c>
      <c r="V110" s="77">
        <v>0</v>
      </c>
      <c r="W110" s="77">
        <v>0</v>
      </c>
      <c r="X110" s="77">
        <v>0</v>
      </c>
      <c r="Y110" s="10" t="s">
        <v>768</v>
      </c>
      <c r="Z110" s="10" t="s">
        <v>163</v>
      </c>
      <c r="AA110" s="10" t="s">
        <v>162</v>
      </c>
      <c r="AB110" s="10" t="s">
        <v>162</v>
      </c>
      <c r="AC110" s="10" t="s">
        <v>162</v>
      </c>
      <c r="AD110" s="21" t="s">
        <v>162</v>
      </c>
      <c r="AE110" s="21" t="s">
        <v>162</v>
      </c>
      <c r="AF110" s="10" t="s">
        <v>162</v>
      </c>
      <c r="AG110" s="10" t="s">
        <v>162</v>
      </c>
      <c r="AH110" s="21" t="s">
        <v>162</v>
      </c>
      <c r="AI110" s="21" t="s">
        <v>162</v>
      </c>
      <c r="AJ110" s="21" t="s">
        <v>162</v>
      </c>
      <c r="AK110" s="21" t="s">
        <v>162</v>
      </c>
      <c r="AL110" s="21" t="s">
        <v>162</v>
      </c>
      <c r="AM110" s="21" t="s">
        <v>162</v>
      </c>
      <c r="AN110" s="21" t="s">
        <v>162</v>
      </c>
      <c r="AO110" s="10" t="s">
        <v>162</v>
      </c>
      <c r="AP110" s="21" t="s">
        <v>162</v>
      </c>
      <c r="AQ110" s="10" t="s">
        <v>743</v>
      </c>
      <c r="AR110" s="10" t="s">
        <v>162</v>
      </c>
      <c r="AS110" s="10" t="s">
        <v>162</v>
      </c>
      <c r="AT110" s="10" t="s">
        <v>769</v>
      </c>
      <c r="AU110" s="10" t="s">
        <v>162</v>
      </c>
      <c r="AV110" s="10" t="s">
        <v>162</v>
      </c>
      <c r="AW110" s="10"/>
    </row>
    <row r="111" spans="1:49">
      <c r="A111" s="10" t="s">
        <v>770</v>
      </c>
      <c r="B111" s="21" t="s">
        <v>162</v>
      </c>
      <c r="C111" s="74" t="s">
        <v>163</v>
      </c>
      <c r="D111" s="74">
        <v>44909</v>
      </c>
      <c r="E111" s="10" t="s">
        <v>771</v>
      </c>
      <c r="F111" s="75" t="str">
        <f>VLOOKUP($E111,'Item Classification'!B:C,2,0)</f>
        <v>Fighter aircraft</v>
      </c>
      <c r="G111" s="10" t="str">
        <f>VLOOKUP($E111,'Item Classification'!B:D,3,0)</f>
        <v>Aircraft</v>
      </c>
      <c r="H111" s="76">
        <f>VLOOKUP($E111,'Item Classification'!B:E,4,0)</f>
        <v>11</v>
      </c>
      <c r="I111" s="81">
        <v>35</v>
      </c>
      <c r="J111" s="182">
        <f>M111/I111</f>
        <v>237142857.14285713</v>
      </c>
      <c r="K111" s="81">
        <v>2026</v>
      </c>
      <c r="L111" s="81">
        <v>2029</v>
      </c>
      <c r="M111" s="183">
        <v>8300000000</v>
      </c>
      <c r="N111" s="10" t="s">
        <v>665</v>
      </c>
      <c r="O111" s="10" t="s">
        <v>162</v>
      </c>
      <c r="P111" s="10" t="s">
        <v>163</v>
      </c>
      <c r="Q111" s="77">
        <v>36</v>
      </c>
      <c r="R111" s="77">
        <v>0</v>
      </c>
      <c r="S111" s="77">
        <v>0</v>
      </c>
      <c r="T111" s="77">
        <v>1</v>
      </c>
      <c r="U111" s="77">
        <v>0</v>
      </c>
      <c r="V111" s="77">
        <v>0</v>
      </c>
      <c r="W111" s="77">
        <v>0</v>
      </c>
      <c r="X111" s="77">
        <v>0</v>
      </c>
      <c r="Y111" s="10" t="s">
        <v>772</v>
      </c>
      <c r="Z111" s="10" t="s">
        <v>218</v>
      </c>
      <c r="AA111" s="10" t="s">
        <v>218</v>
      </c>
      <c r="AB111" s="10" t="s">
        <v>162</v>
      </c>
      <c r="AC111" s="10" t="s">
        <v>162</v>
      </c>
      <c r="AD111" s="21" t="s">
        <v>162</v>
      </c>
      <c r="AE111" s="21" t="s">
        <v>162</v>
      </c>
      <c r="AF111" s="10" t="s">
        <v>162</v>
      </c>
      <c r="AG111" s="10" t="s">
        <v>162</v>
      </c>
      <c r="AH111" s="21" t="s">
        <v>162</v>
      </c>
      <c r="AI111" s="21" t="s">
        <v>162</v>
      </c>
      <c r="AJ111" s="21" t="s">
        <v>162</v>
      </c>
      <c r="AK111" s="21" t="s">
        <v>162</v>
      </c>
      <c r="AL111" s="21" t="s">
        <v>162</v>
      </c>
      <c r="AM111" s="21" t="s">
        <v>162</v>
      </c>
      <c r="AN111" s="21" t="s">
        <v>162</v>
      </c>
      <c r="AO111" s="10" t="s">
        <v>162</v>
      </c>
      <c r="AP111" s="21" t="s">
        <v>162</v>
      </c>
      <c r="AQ111" s="10" t="s">
        <v>773</v>
      </c>
      <c r="AR111" s="10" t="s">
        <v>744</v>
      </c>
      <c r="AS111" s="10" t="s">
        <v>774</v>
      </c>
      <c r="AT111" s="10" t="s">
        <v>775</v>
      </c>
      <c r="AU111" s="10" t="s">
        <v>776</v>
      </c>
      <c r="AV111" s="10" t="s">
        <v>162</v>
      </c>
      <c r="AW111" s="10"/>
    </row>
    <row r="112" spans="1:49">
      <c r="A112" s="10" t="s">
        <v>777</v>
      </c>
      <c r="B112" s="21" t="s">
        <v>162</v>
      </c>
      <c r="C112" s="74" t="s">
        <v>163</v>
      </c>
      <c r="D112" s="74">
        <v>44965</v>
      </c>
      <c r="E112" s="10" t="s">
        <v>778</v>
      </c>
      <c r="F112" s="75" t="str">
        <f>VLOOKUP($E112,'Item Classification'!B:C,2,0)</f>
        <v>Communication and digitalisation</v>
      </c>
      <c r="G112" s="10" t="str">
        <f>VLOOKUP($E112,'Item Classification'!B:D,3,0)</f>
        <v>Modernisation</v>
      </c>
      <c r="H112" s="76">
        <f>VLOOKUP($E112,'Item Classification'!B:E,4,0)</f>
        <v>13</v>
      </c>
      <c r="I112" s="81">
        <v>5</v>
      </c>
      <c r="J112" s="182">
        <f>M112/I112</f>
        <v>10560000</v>
      </c>
      <c r="K112" s="81">
        <v>2024</v>
      </c>
      <c r="L112" s="81">
        <v>2028</v>
      </c>
      <c r="M112" s="183">
        <v>52800000</v>
      </c>
      <c r="N112" s="10" t="s">
        <v>165</v>
      </c>
      <c r="O112" s="10" t="s">
        <v>162</v>
      </c>
      <c r="P112" s="10" t="s">
        <v>163</v>
      </c>
      <c r="Q112" s="77">
        <v>38</v>
      </c>
      <c r="R112" s="77">
        <v>1</v>
      </c>
      <c r="S112" s="77">
        <v>1</v>
      </c>
      <c r="T112" s="77">
        <v>0</v>
      </c>
      <c r="U112" s="77">
        <v>1</v>
      </c>
      <c r="V112" s="77">
        <v>0</v>
      </c>
      <c r="W112" s="77">
        <v>0</v>
      </c>
      <c r="X112" s="77">
        <v>0</v>
      </c>
      <c r="Y112" s="21" t="s">
        <v>168</v>
      </c>
      <c r="Z112" s="21" t="s">
        <v>163</v>
      </c>
      <c r="AA112" s="10" t="s">
        <v>162</v>
      </c>
      <c r="AB112" s="10" t="s">
        <v>162</v>
      </c>
      <c r="AC112" s="10" t="s">
        <v>162</v>
      </c>
      <c r="AD112" s="21" t="s">
        <v>162</v>
      </c>
      <c r="AE112" s="21" t="s">
        <v>162</v>
      </c>
      <c r="AF112" s="10" t="s">
        <v>162</v>
      </c>
      <c r="AG112" s="10" t="s">
        <v>162</v>
      </c>
      <c r="AH112" s="21" t="s">
        <v>162</v>
      </c>
      <c r="AI112" s="21" t="s">
        <v>162</v>
      </c>
      <c r="AJ112" s="21" t="s">
        <v>162</v>
      </c>
      <c r="AK112" s="21" t="s">
        <v>162</v>
      </c>
      <c r="AL112" s="21" t="s">
        <v>162</v>
      </c>
      <c r="AM112" s="21" t="s">
        <v>162</v>
      </c>
      <c r="AN112" s="21" t="s">
        <v>162</v>
      </c>
      <c r="AO112" s="10" t="s">
        <v>162</v>
      </c>
      <c r="AP112" s="21" t="s">
        <v>162</v>
      </c>
      <c r="AQ112" s="10" t="s">
        <v>779</v>
      </c>
      <c r="AR112" s="10" t="s">
        <v>780</v>
      </c>
      <c r="AS112" s="10" t="s">
        <v>162</v>
      </c>
      <c r="AT112" s="10" t="s">
        <v>781</v>
      </c>
      <c r="AU112" s="10" t="s">
        <v>162</v>
      </c>
      <c r="AV112" s="10" t="s">
        <v>162</v>
      </c>
      <c r="AW112" s="10"/>
    </row>
    <row r="113" spans="1:49">
      <c r="A113" s="10" t="s">
        <v>782</v>
      </c>
      <c r="B113" s="21" t="s">
        <v>162</v>
      </c>
      <c r="C113" s="74" t="s">
        <v>163</v>
      </c>
      <c r="D113" s="74">
        <v>44972</v>
      </c>
      <c r="E113" s="10" t="s">
        <v>783</v>
      </c>
      <c r="F113" s="75" t="str">
        <f>VLOOKUP($E113,'Item Classification'!B:C,2,0)</f>
        <v>35mm anti-aircraft gun tank ammunition</v>
      </c>
      <c r="G113" s="10" t="str">
        <f>VLOOKUP($E113,'Item Classification'!B:D,3,0)</f>
        <v>Ammunition</v>
      </c>
      <c r="H113" s="76">
        <f>VLOOKUP($E113,'Item Classification'!B:E,4,0)</f>
        <v>4</v>
      </c>
      <c r="I113" s="81">
        <v>300000</v>
      </c>
      <c r="J113" s="182">
        <f>M113/I113</f>
        <v>560</v>
      </c>
      <c r="K113" s="81">
        <v>2023</v>
      </c>
      <c r="L113" s="81">
        <v>2023</v>
      </c>
      <c r="M113" s="183">
        <v>168000000</v>
      </c>
      <c r="N113" s="10" t="s">
        <v>784</v>
      </c>
      <c r="O113" s="10" t="s">
        <v>162</v>
      </c>
      <c r="P113" s="10" t="s">
        <v>785</v>
      </c>
      <c r="Q113" s="77">
        <v>38</v>
      </c>
      <c r="R113" s="77">
        <v>0</v>
      </c>
      <c r="S113" s="77">
        <v>0</v>
      </c>
      <c r="T113" s="77">
        <v>0</v>
      </c>
      <c r="U113" s="77">
        <v>1</v>
      </c>
      <c r="V113" s="77">
        <v>0</v>
      </c>
      <c r="W113" s="77">
        <v>0</v>
      </c>
      <c r="X113" s="77">
        <v>0</v>
      </c>
      <c r="Y113" s="21" t="s">
        <v>268</v>
      </c>
      <c r="Z113" s="21" t="s">
        <v>163</v>
      </c>
      <c r="AA113" s="10" t="s">
        <v>163</v>
      </c>
      <c r="AB113" s="10" t="s">
        <v>162</v>
      </c>
      <c r="AC113" s="10" t="s">
        <v>162</v>
      </c>
      <c r="AD113" s="10" t="s">
        <v>162</v>
      </c>
      <c r="AE113" s="10" t="s">
        <v>162</v>
      </c>
      <c r="AF113" s="10" t="s">
        <v>162</v>
      </c>
      <c r="AG113" s="10" t="s">
        <v>162</v>
      </c>
      <c r="AH113" s="10" t="s">
        <v>162</v>
      </c>
      <c r="AI113" s="10" t="s">
        <v>162</v>
      </c>
      <c r="AJ113" s="10" t="s">
        <v>162</v>
      </c>
      <c r="AK113" s="10" t="s">
        <v>162</v>
      </c>
      <c r="AL113" s="10" t="s">
        <v>162</v>
      </c>
      <c r="AM113" s="10" t="s">
        <v>162</v>
      </c>
      <c r="AN113" s="10" t="s">
        <v>162</v>
      </c>
      <c r="AO113" s="10" t="s">
        <v>162</v>
      </c>
      <c r="AP113" s="10" t="s">
        <v>162</v>
      </c>
      <c r="AQ113" s="10" t="s">
        <v>786</v>
      </c>
      <c r="AR113" s="10" t="s">
        <v>787</v>
      </c>
      <c r="AS113" s="10" t="s">
        <v>788</v>
      </c>
      <c r="AT113" s="10" t="s">
        <v>789</v>
      </c>
      <c r="AU113" s="10" t="s">
        <v>790</v>
      </c>
      <c r="AV113" s="10" t="s">
        <v>791</v>
      </c>
      <c r="AW113" s="10" t="s">
        <v>162</v>
      </c>
    </row>
    <row r="114" spans="1:49">
      <c r="A114" s="10" t="s">
        <v>792</v>
      </c>
      <c r="B114" s="21" t="s">
        <v>162</v>
      </c>
      <c r="C114" s="74" t="s">
        <v>163</v>
      </c>
      <c r="D114" s="74">
        <v>44987</v>
      </c>
      <c r="E114" s="10" t="s">
        <v>162</v>
      </c>
      <c r="F114" s="75" t="s">
        <v>793</v>
      </c>
      <c r="G114" s="10" t="s">
        <v>645</v>
      </c>
      <c r="H114" s="76">
        <v>13</v>
      </c>
      <c r="I114" s="81" t="s">
        <v>162</v>
      </c>
      <c r="J114" s="81" t="s">
        <v>162</v>
      </c>
      <c r="K114" s="81">
        <v>2023</v>
      </c>
      <c r="L114" s="81">
        <v>2024</v>
      </c>
      <c r="M114" s="183">
        <v>33200000</v>
      </c>
      <c r="N114" s="10" t="s">
        <v>665</v>
      </c>
      <c r="O114" s="10" t="s">
        <v>162</v>
      </c>
      <c r="P114" s="10" t="s">
        <v>163</v>
      </c>
      <c r="Q114" s="77">
        <v>39</v>
      </c>
      <c r="R114" s="77">
        <v>1</v>
      </c>
      <c r="S114" s="77">
        <v>0</v>
      </c>
      <c r="T114" s="77">
        <v>0</v>
      </c>
      <c r="U114" s="77">
        <v>1</v>
      </c>
      <c r="V114" s="77">
        <v>0</v>
      </c>
      <c r="W114" s="77">
        <v>1</v>
      </c>
      <c r="X114" s="77">
        <v>1</v>
      </c>
      <c r="Y114" s="21" t="s">
        <v>727</v>
      </c>
      <c r="Z114" s="21" t="s">
        <v>163</v>
      </c>
      <c r="AA114" s="10" t="s">
        <v>163</v>
      </c>
      <c r="AB114" s="10" t="s">
        <v>728</v>
      </c>
      <c r="AC114" s="21" t="s">
        <v>162</v>
      </c>
      <c r="AD114" s="21" t="s">
        <v>162</v>
      </c>
      <c r="AE114" s="21" t="s">
        <v>162</v>
      </c>
      <c r="AF114" s="10" t="s">
        <v>167</v>
      </c>
      <c r="AG114" s="21" t="s">
        <v>162</v>
      </c>
      <c r="AH114" s="21" t="s">
        <v>162</v>
      </c>
      <c r="AI114" s="21" t="s">
        <v>162</v>
      </c>
      <c r="AJ114" s="21" t="s">
        <v>162</v>
      </c>
      <c r="AK114" s="21" t="s">
        <v>162</v>
      </c>
      <c r="AL114" s="21" t="s">
        <v>162</v>
      </c>
      <c r="AM114" s="21" t="s">
        <v>162</v>
      </c>
      <c r="AN114" s="21" t="s">
        <v>162</v>
      </c>
      <c r="AO114" s="10" t="s">
        <v>162</v>
      </c>
      <c r="AP114" s="21" t="s">
        <v>162</v>
      </c>
      <c r="AQ114" s="10" t="s">
        <v>794</v>
      </c>
      <c r="AR114" s="10" t="s">
        <v>721</v>
      </c>
      <c r="AS114" s="10" t="s">
        <v>730</v>
      </c>
      <c r="AT114" s="10" t="s">
        <v>795</v>
      </c>
      <c r="AU114" s="10" t="s">
        <v>162</v>
      </c>
      <c r="AV114" s="10" t="s">
        <v>162</v>
      </c>
      <c r="AW114" s="10"/>
    </row>
    <row r="115" spans="1:49">
      <c r="A115" s="10" t="s">
        <v>796</v>
      </c>
      <c r="B115" s="21" t="s">
        <v>162</v>
      </c>
      <c r="C115" s="74" t="s">
        <v>163</v>
      </c>
      <c r="D115" s="74">
        <v>44987</v>
      </c>
      <c r="E115" s="10" t="s">
        <v>797</v>
      </c>
      <c r="F115" s="75" t="str">
        <f>VLOOKUP($E115,'Item Classification'!B:C,2,0)</f>
        <v>Communication equipment</v>
      </c>
      <c r="G115" s="10" t="str">
        <f>VLOOKUP($E115,'Item Classification'!B:D,3,0)</f>
        <v>Modernisation</v>
      </c>
      <c r="H115" s="76">
        <f>VLOOKUP($E115,'Item Classification'!B:E,4,0)</f>
        <v>13</v>
      </c>
      <c r="I115" s="81">
        <v>3000</v>
      </c>
      <c r="J115" s="81" t="s">
        <v>162</v>
      </c>
      <c r="K115" s="81">
        <v>2023</v>
      </c>
      <c r="L115" s="81">
        <v>2024</v>
      </c>
      <c r="M115" s="81" t="s">
        <v>162</v>
      </c>
      <c r="N115" s="10" t="s">
        <v>665</v>
      </c>
      <c r="O115" s="10" t="s">
        <v>162</v>
      </c>
      <c r="P115" s="10" t="s">
        <v>163</v>
      </c>
      <c r="Q115" s="77">
        <v>39</v>
      </c>
      <c r="R115" s="77">
        <v>1</v>
      </c>
      <c r="S115" s="77">
        <v>0</v>
      </c>
      <c r="T115" s="77">
        <v>0</v>
      </c>
      <c r="U115" s="77">
        <v>1</v>
      </c>
      <c r="V115" s="77">
        <v>0</v>
      </c>
      <c r="W115" s="77">
        <v>1</v>
      </c>
      <c r="X115" s="77">
        <v>1</v>
      </c>
      <c r="Y115" s="21" t="s">
        <v>727</v>
      </c>
      <c r="Z115" s="21" t="s">
        <v>163</v>
      </c>
      <c r="AA115" s="10" t="s">
        <v>163</v>
      </c>
      <c r="AB115" s="10" t="s">
        <v>728</v>
      </c>
      <c r="AC115" s="10" t="s">
        <v>162</v>
      </c>
      <c r="AD115" s="21" t="s">
        <v>162</v>
      </c>
      <c r="AE115" s="21" t="s">
        <v>162</v>
      </c>
      <c r="AF115" s="10" t="s">
        <v>167</v>
      </c>
      <c r="AG115" s="10" t="s">
        <v>162</v>
      </c>
      <c r="AH115" s="21" t="s">
        <v>162</v>
      </c>
      <c r="AI115" s="21" t="s">
        <v>162</v>
      </c>
      <c r="AJ115" s="21" t="s">
        <v>162</v>
      </c>
      <c r="AK115" s="21" t="s">
        <v>162</v>
      </c>
      <c r="AL115" s="21" t="s">
        <v>162</v>
      </c>
      <c r="AM115" s="21" t="s">
        <v>162</v>
      </c>
      <c r="AN115" s="21" t="s">
        <v>162</v>
      </c>
      <c r="AO115" s="10" t="s">
        <v>162</v>
      </c>
      <c r="AP115" s="21" t="s">
        <v>162</v>
      </c>
      <c r="AQ115" s="10" t="s">
        <v>794</v>
      </c>
      <c r="AR115" s="10" t="s">
        <v>721</v>
      </c>
      <c r="AS115" s="10" t="s">
        <v>730</v>
      </c>
      <c r="AT115" s="10" t="s">
        <v>795</v>
      </c>
      <c r="AU115" s="10" t="s">
        <v>162</v>
      </c>
      <c r="AV115" s="10" t="s">
        <v>162</v>
      </c>
      <c r="AW115" s="10"/>
    </row>
    <row r="116" spans="1:49">
      <c r="A116" s="10" t="s">
        <v>798</v>
      </c>
      <c r="B116" s="21" t="s">
        <v>162</v>
      </c>
      <c r="C116" s="74" t="s">
        <v>163</v>
      </c>
      <c r="D116" s="74">
        <v>44987</v>
      </c>
      <c r="E116" s="10" t="s">
        <v>799</v>
      </c>
      <c r="F116" s="75" t="str">
        <f>VLOOKUP($E116,'Item Classification'!B:C,2,0)</f>
        <v>Communication equipment</v>
      </c>
      <c r="G116" s="10" t="str">
        <f>VLOOKUP($E116,'Item Classification'!B:D,3,0)</f>
        <v>Modernisation</v>
      </c>
      <c r="H116" s="76">
        <f>VLOOKUP($E116,'Item Classification'!B:E,4,0)</f>
        <v>13</v>
      </c>
      <c r="I116" s="81">
        <v>500</v>
      </c>
      <c r="J116" s="81" t="s">
        <v>162</v>
      </c>
      <c r="K116" s="81">
        <v>2023</v>
      </c>
      <c r="L116" s="81">
        <v>2024</v>
      </c>
      <c r="M116" s="81" t="s">
        <v>162</v>
      </c>
      <c r="N116" s="10" t="s">
        <v>665</v>
      </c>
      <c r="O116" s="10" t="s">
        <v>162</v>
      </c>
      <c r="P116" s="10" t="s">
        <v>163</v>
      </c>
      <c r="Q116" s="77">
        <v>39</v>
      </c>
      <c r="R116" s="77">
        <v>1</v>
      </c>
      <c r="S116" s="77">
        <v>0</v>
      </c>
      <c r="T116" s="77">
        <v>0</v>
      </c>
      <c r="U116" s="77">
        <v>1</v>
      </c>
      <c r="V116" s="77">
        <v>0</v>
      </c>
      <c r="W116" s="77">
        <v>1</v>
      </c>
      <c r="X116" s="77">
        <v>1</v>
      </c>
      <c r="Y116" s="21" t="s">
        <v>727</v>
      </c>
      <c r="Z116" s="21" t="s">
        <v>163</v>
      </c>
      <c r="AA116" s="10" t="s">
        <v>163</v>
      </c>
      <c r="AB116" s="10" t="s">
        <v>728</v>
      </c>
      <c r="AC116" s="10" t="s">
        <v>162</v>
      </c>
      <c r="AD116" s="21" t="s">
        <v>162</v>
      </c>
      <c r="AE116" s="21" t="s">
        <v>162</v>
      </c>
      <c r="AF116" s="10" t="s">
        <v>167</v>
      </c>
      <c r="AG116" s="10" t="s">
        <v>162</v>
      </c>
      <c r="AH116" s="21" t="s">
        <v>162</v>
      </c>
      <c r="AI116" s="21" t="s">
        <v>162</v>
      </c>
      <c r="AJ116" s="21" t="s">
        <v>162</v>
      </c>
      <c r="AK116" s="21" t="s">
        <v>162</v>
      </c>
      <c r="AL116" s="21" t="s">
        <v>162</v>
      </c>
      <c r="AM116" s="21" t="s">
        <v>162</v>
      </c>
      <c r="AN116" s="21" t="s">
        <v>162</v>
      </c>
      <c r="AO116" s="10" t="s">
        <v>162</v>
      </c>
      <c r="AP116" s="21" t="s">
        <v>162</v>
      </c>
      <c r="AQ116" s="10" t="s">
        <v>794</v>
      </c>
      <c r="AR116" s="10" t="s">
        <v>721</v>
      </c>
      <c r="AS116" s="10" t="s">
        <v>730</v>
      </c>
      <c r="AT116" s="10" t="s">
        <v>795</v>
      </c>
      <c r="AU116" s="10" t="s">
        <v>162</v>
      </c>
      <c r="AV116" s="10" t="s">
        <v>162</v>
      </c>
      <c r="AW116" s="10"/>
    </row>
    <row r="117" spans="1:49">
      <c r="A117" s="10" t="s">
        <v>800</v>
      </c>
      <c r="B117" s="21" t="s">
        <v>162</v>
      </c>
      <c r="C117" s="74" t="s">
        <v>163</v>
      </c>
      <c r="D117" s="74">
        <v>45001</v>
      </c>
      <c r="E117" s="10" t="s">
        <v>801</v>
      </c>
      <c r="F117" s="75" t="str">
        <f>VLOOKUP($E117,'Item Classification'!B:C,2,0)</f>
        <v>Armoured Utility Vehicle (AUV)</v>
      </c>
      <c r="G117" s="10" t="str">
        <f>VLOOKUP($E117,'Item Classification'!B:D,3,0)</f>
        <v>Armoured vehicle</v>
      </c>
      <c r="H117" s="76">
        <f>VLOOKUP($E117,'Item Classification'!B:E,4,0)</f>
        <v>2</v>
      </c>
      <c r="I117" s="81">
        <v>230</v>
      </c>
      <c r="J117" s="182">
        <f>M117/I117</f>
        <v>853043.47826086951</v>
      </c>
      <c r="K117" s="81">
        <v>2025</v>
      </c>
      <c r="L117" s="81">
        <v>2027</v>
      </c>
      <c r="M117" s="183">
        <v>196200000</v>
      </c>
      <c r="N117" s="10" t="s">
        <v>165</v>
      </c>
      <c r="O117" s="10" t="s">
        <v>162</v>
      </c>
      <c r="P117" s="10" t="s">
        <v>163</v>
      </c>
      <c r="Q117" s="77">
        <v>39</v>
      </c>
      <c r="R117" s="77">
        <v>1</v>
      </c>
      <c r="S117" s="77">
        <v>0</v>
      </c>
      <c r="T117" s="77">
        <v>0</v>
      </c>
      <c r="U117" s="77">
        <v>1</v>
      </c>
      <c r="V117" s="77">
        <v>1</v>
      </c>
      <c r="W117" s="77">
        <v>0</v>
      </c>
      <c r="X117" s="77">
        <v>1</v>
      </c>
      <c r="Y117" s="10" t="s">
        <v>802</v>
      </c>
      <c r="Z117" s="21" t="s">
        <v>219</v>
      </c>
      <c r="AA117" s="10" t="s">
        <v>162</v>
      </c>
      <c r="AB117" s="10" t="s">
        <v>485</v>
      </c>
      <c r="AC117" s="10" t="s">
        <v>803</v>
      </c>
      <c r="AD117" s="21" t="s">
        <v>804</v>
      </c>
      <c r="AE117" s="21" t="s">
        <v>805</v>
      </c>
      <c r="AF117" s="10" t="s">
        <v>163</v>
      </c>
      <c r="AG117" s="10" t="s">
        <v>806</v>
      </c>
      <c r="AH117" s="21" t="s">
        <v>162</v>
      </c>
      <c r="AI117" s="21" t="s">
        <v>162</v>
      </c>
      <c r="AJ117" s="21" t="s">
        <v>162</v>
      </c>
      <c r="AK117" s="21" t="s">
        <v>162</v>
      </c>
      <c r="AL117" s="21" t="s">
        <v>162</v>
      </c>
      <c r="AM117" s="21" t="s">
        <v>162</v>
      </c>
      <c r="AN117" s="21" t="s">
        <v>162</v>
      </c>
      <c r="AO117" s="10" t="s">
        <v>162</v>
      </c>
      <c r="AP117" s="21" t="s">
        <v>162</v>
      </c>
      <c r="AQ117" s="10" t="s">
        <v>807</v>
      </c>
      <c r="AR117" s="10" t="s">
        <v>808</v>
      </c>
      <c r="AS117" s="10" t="s">
        <v>162</v>
      </c>
      <c r="AT117" s="10" t="s">
        <v>809</v>
      </c>
      <c r="AU117" s="10" t="s">
        <v>162</v>
      </c>
      <c r="AV117" s="10" t="s">
        <v>162</v>
      </c>
      <c r="AW117" s="10"/>
    </row>
    <row r="118" spans="1:49">
      <c r="A118" s="10" t="s">
        <v>810</v>
      </c>
      <c r="B118" s="21" t="s">
        <v>162</v>
      </c>
      <c r="C118" s="74" t="s">
        <v>163</v>
      </c>
      <c r="D118" s="74">
        <v>45014</v>
      </c>
      <c r="E118" s="80" t="s">
        <v>811</v>
      </c>
      <c r="F118" s="75" t="str">
        <f>VLOOKUP($E118,'Item Classification'!B:C,2,0)</f>
        <v>155mm howitzer</v>
      </c>
      <c r="G118" s="10" t="str">
        <f>VLOOKUP($E118,'Item Classification'!B:D,3,0)</f>
        <v>Artillery</v>
      </c>
      <c r="H118" s="76">
        <f>VLOOKUP($E118,'Item Classification'!B:E,4,0)</f>
        <v>3</v>
      </c>
      <c r="I118" s="81">
        <v>10</v>
      </c>
      <c r="J118" s="182">
        <f>M118/I118</f>
        <v>18400000</v>
      </c>
      <c r="K118" s="81">
        <v>2025</v>
      </c>
      <c r="L118" s="81">
        <v>2026</v>
      </c>
      <c r="M118" s="183">
        <v>184000000</v>
      </c>
      <c r="N118" s="10" t="s">
        <v>784</v>
      </c>
      <c r="O118" s="10" t="s">
        <v>162</v>
      </c>
      <c r="P118" s="10" t="s">
        <v>163</v>
      </c>
      <c r="Q118" s="77">
        <v>39</v>
      </c>
      <c r="R118" s="77">
        <v>1</v>
      </c>
      <c r="S118" s="77">
        <v>0</v>
      </c>
      <c r="T118" s="77">
        <v>0</v>
      </c>
      <c r="U118" s="77">
        <v>1</v>
      </c>
      <c r="V118" s="77">
        <v>0</v>
      </c>
      <c r="W118" s="77">
        <v>0</v>
      </c>
      <c r="X118" s="77">
        <v>0</v>
      </c>
      <c r="Y118" s="10" t="s">
        <v>485</v>
      </c>
      <c r="Z118" s="10" t="s">
        <v>163</v>
      </c>
      <c r="AA118" s="10" t="s">
        <v>162</v>
      </c>
      <c r="AB118" s="10" t="s">
        <v>162</v>
      </c>
      <c r="AC118" s="10" t="s">
        <v>162</v>
      </c>
      <c r="AD118" s="21" t="s">
        <v>162</v>
      </c>
      <c r="AE118" s="21" t="s">
        <v>162</v>
      </c>
      <c r="AF118" s="10" t="s">
        <v>162</v>
      </c>
      <c r="AG118" s="10" t="s">
        <v>162</v>
      </c>
      <c r="AH118" s="21" t="s">
        <v>162</v>
      </c>
      <c r="AI118" s="21" t="s">
        <v>162</v>
      </c>
      <c r="AJ118" s="21" t="s">
        <v>162</v>
      </c>
      <c r="AK118" s="21" t="s">
        <v>162</v>
      </c>
      <c r="AL118" s="21" t="s">
        <v>162</v>
      </c>
      <c r="AM118" s="21" t="s">
        <v>162</v>
      </c>
      <c r="AN118" s="21" t="s">
        <v>162</v>
      </c>
      <c r="AO118" s="10" t="s">
        <v>162</v>
      </c>
      <c r="AP118" s="21" t="s">
        <v>162</v>
      </c>
      <c r="AQ118" s="10" t="s">
        <v>812</v>
      </c>
      <c r="AR118" s="10" t="s">
        <v>813</v>
      </c>
      <c r="AS118" s="10" t="s">
        <v>814</v>
      </c>
      <c r="AT118" s="10" t="s">
        <v>815</v>
      </c>
      <c r="AU118" s="10" t="s">
        <v>816</v>
      </c>
      <c r="AV118" s="10" t="s">
        <v>162</v>
      </c>
      <c r="AW118" s="10"/>
    </row>
    <row r="119" spans="1:49">
      <c r="A119" s="10" t="s">
        <v>817</v>
      </c>
      <c r="B119" s="21" t="s">
        <v>162</v>
      </c>
      <c r="C119" s="74" t="s">
        <v>163</v>
      </c>
      <c r="D119" s="74">
        <v>45014</v>
      </c>
      <c r="E119" s="10" t="s">
        <v>818</v>
      </c>
      <c r="F119" s="75" t="str">
        <f>VLOOKUP($E119,'Item Classification'!B:C,2,0)</f>
        <v>Medical emergency facility</v>
      </c>
      <c r="G119" s="10" t="str">
        <f>VLOOKUP($E119,'Item Classification'!B:D,3,0)</f>
        <v>Naval</v>
      </c>
      <c r="H119" s="76">
        <f>VLOOKUP($E119,'Item Classification'!B:E,4,0)</f>
        <v>12</v>
      </c>
      <c r="I119" s="81">
        <v>1</v>
      </c>
      <c r="J119" s="182">
        <f>M119/I119</f>
        <v>42000000</v>
      </c>
      <c r="K119" s="81" t="s">
        <v>162</v>
      </c>
      <c r="L119" s="81" t="s">
        <v>162</v>
      </c>
      <c r="M119" s="183">
        <v>42000000</v>
      </c>
      <c r="N119" s="10" t="s">
        <v>165</v>
      </c>
      <c r="O119" s="10" t="s">
        <v>162</v>
      </c>
      <c r="P119" s="10" t="s">
        <v>163</v>
      </c>
      <c r="Q119" s="77">
        <v>39</v>
      </c>
      <c r="R119" s="77">
        <v>0</v>
      </c>
      <c r="S119" s="77">
        <v>0</v>
      </c>
      <c r="T119" s="77">
        <v>0</v>
      </c>
      <c r="U119" s="77">
        <v>1</v>
      </c>
      <c r="V119" s="77">
        <v>0</v>
      </c>
      <c r="W119" s="77">
        <v>0</v>
      </c>
      <c r="X119" s="77">
        <v>0</v>
      </c>
      <c r="Y119" s="10" t="s">
        <v>819</v>
      </c>
      <c r="Z119" s="10" t="s">
        <v>163</v>
      </c>
      <c r="AA119" s="10" t="s">
        <v>163</v>
      </c>
      <c r="AB119" s="10" t="s">
        <v>162</v>
      </c>
      <c r="AC119" s="10" t="s">
        <v>162</v>
      </c>
      <c r="AD119" s="21" t="s">
        <v>162</v>
      </c>
      <c r="AE119" s="21" t="s">
        <v>162</v>
      </c>
      <c r="AF119" s="10" t="s">
        <v>162</v>
      </c>
      <c r="AG119" s="10" t="s">
        <v>162</v>
      </c>
      <c r="AH119" s="21" t="s">
        <v>162</v>
      </c>
      <c r="AI119" s="21" t="s">
        <v>162</v>
      </c>
      <c r="AJ119" s="21" t="s">
        <v>162</v>
      </c>
      <c r="AK119" s="21" t="s">
        <v>162</v>
      </c>
      <c r="AL119" s="21" t="s">
        <v>162</v>
      </c>
      <c r="AM119" s="21" t="s">
        <v>162</v>
      </c>
      <c r="AN119" s="21" t="s">
        <v>162</v>
      </c>
      <c r="AO119" s="10" t="s">
        <v>162</v>
      </c>
      <c r="AP119" s="21" t="s">
        <v>162</v>
      </c>
      <c r="AQ119" s="10" t="s">
        <v>812</v>
      </c>
      <c r="AR119" s="10" t="s">
        <v>820</v>
      </c>
      <c r="AS119" s="10" t="s">
        <v>821</v>
      </c>
      <c r="AT119" s="10" t="s">
        <v>822</v>
      </c>
      <c r="AU119" s="10" t="s">
        <v>162</v>
      </c>
      <c r="AV119" s="10" t="s">
        <v>162</v>
      </c>
      <c r="AW119" s="10"/>
    </row>
    <row r="120" spans="1:49">
      <c r="A120" s="10" t="s">
        <v>823</v>
      </c>
      <c r="B120" s="10" t="s">
        <v>751</v>
      </c>
      <c r="C120" s="74" t="s">
        <v>163</v>
      </c>
      <c r="D120" s="74">
        <v>45014</v>
      </c>
      <c r="E120" s="10" t="s">
        <v>752</v>
      </c>
      <c r="F120" s="75" t="str">
        <f>VLOOKUP($E120,'Item Classification'!B:C,2,0)</f>
        <v>All-terrain vehicle</v>
      </c>
      <c r="G120" s="10" t="str">
        <f>VLOOKUP($E120,'Item Classification'!B:D,3,0)</f>
        <v>Armoured vehicle</v>
      </c>
      <c r="H120" s="76">
        <f>VLOOKUP($E120,'Item Classification'!B:E,4,0)</f>
        <v>2</v>
      </c>
      <c r="I120" s="81">
        <v>227</v>
      </c>
      <c r="J120" s="182">
        <f>M120/I120</f>
        <v>4048458.1497797356</v>
      </c>
      <c r="K120" s="81">
        <v>2025</v>
      </c>
      <c r="L120" s="81">
        <v>2030</v>
      </c>
      <c r="M120" s="183">
        <v>919000000</v>
      </c>
      <c r="N120" s="10" t="s">
        <v>665</v>
      </c>
      <c r="O120" s="10" t="s">
        <v>162</v>
      </c>
      <c r="P120" s="10" t="s">
        <v>163</v>
      </c>
      <c r="Q120" s="77">
        <v>39</v>
      </c>
      <c r="R120" s="77">
        <v>1</v>
      </c>
      <c r="S120" s="77">
        <v>0</v>
      </c>
      <c r="T120" s="77">
        <v>0</v>
      </c>
      <c r="U120" s="77">
        <v>1</v>
      </c>
      <c r="V120" s="77">
        <v>1</v>
      </c>
      <c r="W120" s="77">
        <v>0</v>
      </c>
      <c r="X120" s="77">
        <v>1</v>
      </c>
      <c r="Y120" s="10" t="s">
        <v>753</v>
      </c>
      <c r="Z120" s="10" t="s">
        <v>163</v>
      </c>
      <c r="AA120" s="10" t="s">
        <v>232</v>
      </c>
      <c r="AB120" s="10" t="s">
        <v>162</v>
      </c>
      <c r="AC120" s="10" t="s">
        <v>162</v>
      </c>
      <c r="AD120" s="21" t="s">
        <v>162</v>
      </c>
      <c r="AE120" s="21" t="s">
        <v>162</v>
      </c>
      <c r="AF120" s="10" t="s">
        <v>232</v>
      </c>
      <c r="AG120" s="10" t="s">
        <v>689</v>
      </c>
      <c r="AH120" s="21" t="s">
        <v>162</v>
      </c>
      <c r="AI120" s="21" t="s">
        <v>162</v>
      </c>
      <c r="AJ120" s="21" t="s">
        <v>162</v>
      </c>
      <c r="AK120" s="21" t="s">
        <v>162</v>
      </c>
      <c r="AL120" s="21" t="s">
        <v>162</v>
      </c>
      <c r="AM120" s="21" t="s">
        <v>162</v>
      </c>
      <c r="AN120" s="21" t="s">
        <v>162</v>
      </c>
      <c r="AO120" s="10" t="s">
        <v>162</v>
      </c>
      <c r="AP120" s="21" t="s">
        <v>162</v>
      </c>
      <c r="AQ120" s="10" t="s">
        <v>812</v>
      </c>
      <c r="AR120" s="10" t="s">
        <v>824</v>
      </c>
      <c r="AS120" s="10" t="s">
        <v>754</v>
      </c>
      <c r="AT120" s="10" t="s">
        <v>825</v>
      </c>
      <c r="AU120" s="10" t="s">
        <v>162</v>
      </c>
      <c r="AV120" s="10" t="s">
        <v>162</v>
      </c>
      <c r="AW120" s="10"/>
    </row>
    <row r="121" spans="1:49">
      <c r="A121" s="10" t="s">
        <v>826</v>
      </c>
      <c r="B121" s="21" t="s">
        <v>162</v>
      </c>
      <c r="C121" s="10" t="s">
        <v>163</v>
      </c>
      <c r="D121" s="74">
        <v>45035</v>
      </c>
      <c r="E121" s="10" t="s">
        <v>827</v>
      </c>
      <c r="F121" s="75" t="str">
        <f>VLOOKUP($E121,'Item Classification'!B:C,2,0)</f>
        <v>Naval surface-to-air missile (SAM) missile (medium-range)</v>
      </c>
      <c r="G121" s="10" t="str">
        <f>VLOOKUP($E121,'Item Classification'!B:D,3,0)</f>
        <v>Missile (Naval)</v>
      </c>
      <c r="H121" s="76">
        <f>VLOOKUP($E121,'Item Classification'!B:E,4,0)</f>
        <v>6</v>
      </c>
      <c r="I121" s="81" t="s">
        <v>162</v>
      </c>
      <c r="J121" s="81" t="s">
        <v>162</v>
      </c>
      <c r="K121" s="81" t="s">
        <v>162</v>
      </c>
      <c r="L121" s="81" t="s">
        <v>162</v>
      </c>
      <c r="M121" s="183">
        <v>269000000</v>
      </c>
      <c r="N121" s="10" t="s">
        <v>165</v>
      </c>
      <c r="O121" s="10" t="s">
        <v>162</v>
      </c>
      <c r="P121" s="10" t="s">
        <v>163</v>
      </c>
      <c r="Q121" s="77">
        <v>40</v>
      </c>
      <c r="R121" s="77">
        <v>1</v>
      </c>
      <c r="S121" s="77">
        <v>0</v>
      </c>
      <c r="T121" s="77">
        <v>0</v>
      </c>
      <c r="U121" s="77">
        <v>1</v>
      </c>
      <c r="V121" s="77">
        <v>0</v>
      </c>
      <c r="W121" s="77">
        <v>1</v>
      </c>
      <c r="X121" s="77">
        <v>1</v>
      </c>
      <c r="Y121" s="10" t="s">
        <v>702</v>
      </c>
      <c r="Z121" s="10" t="s">
        <v>218</v>
      </c>
      <c r="AA121" s="10" t="s">
        <v>162</v>
      </c>
      <c r="AB121" s="10" t="s">
        <v>162</v>
      </c>
      <c r="AC121" s="10" t="s">
        <v>162</v>
      </c>
      <c r="AD121" s="21" t="s">
        <v>162</v>
      </c>
      <c r="AE121" s="21" t="s">
        <v>162</v>
      </c>
      <c r="AF121" s="10" t="s">
        <v>527</v>
      </c>
      <c r="AG121" s="10" t="s">
        <v>431</v>
      </c>
      <c r="AH121" s="21" t="s">
        <v>828</v>
      </c>
      <c r="AI121" s="21" t="s">
        <v>163</v>
      </c>
      <c r="AJ121" s="21" t="s">
        <v>375</v>
      </c>
      <c r="AK121" s="21" t="s">
        <v>465</v>
      </c>
      <c r="AL121" s="21" t="s">
        <v>190</v>
      </c>
      <c r="AM121" s="21" t="s">
        <v>829</v>
      </c>
      <c r="AN121" s="21" t="s">
        <v>176</v>
      </c>
      <c r="AO121" s="10" t="s">
        <v>162</v>
      </c>
      <c r="AP121" s="21" t="s">
        <v>162</v>
      </c>
      <c r="AQ121" s="10" t="s">
        <v>830</v>
      </c>
      <c r="AR121" s="10" t="s">
        <v>831</v>
      </c>
      <c r="AS121" s="10" t="s">
        <v>162</v>
      </c>
      <c r="AT121" s="10" t="s">
        <v>832</v>
      </c>
      <c r="AU121" s="10" t="s">
        <v>162</v>
      </c>
      <c r="AV121" s="10" t="s">
        <v>162</v>
      </c>
      <c r="AW121" s="10"/>
    </row>
    <row r="122" spans="1:49">
      <c r="A122" s="10" t="s">
        <v>833</v>
      </c>
      <c r="B122" s="21" t="s">
        <v>162</v>
      </c>
      <c r="C122" s="10" t="s">
        <v>163</v>
      </c>
      <c r="D122" s="74">
        <v>45035</v>
      </c>
      <c r="E122" s="10" t="s">
        <v>162</v>
      </c>
      <c r="F122" s="75" t="s">
        <v>793</v>
      </c>
      <c r="G122" s="10" t="s">
        <v>645</v>
      </c>
      <c r="H122" s="76">
        <v>13</v>
      </c>
      <c r="I122" s="81" t="s">
        <v>162</v>
      </c>
      <c r="J122" s="81" t="s">
        <v>162</v>
      </c>
      <c r="K122" s="81" t="s">
        <v>162</v>
      </c>
      <c r="L122" s="81" t="s">
        <v>162</v>
      </c>
      <c r="M122" s="183">
        <v>348000000</v>
      </c>
      <c r="N122" s="10" t="s">
        <v>165</v>
      </c>
      <c r="O122" s="10" t="s">
        <v>162</v>
      </c>
      <c r="P122" s="10" t="s">
        <v>163</v>
      </c>
      <c r="Q122" s="77">
        <v>40</v>
      </c>
      <c r="R122" s="77">
        <v>1</v>
      </c>
      <c r="S122" s="77">
        <v>0</v>
      </c>
      <c r="T122" s="77">
        <v>0</v>
      </c>
      <c r="U122" s="77" t="s">
        <v>162</v>
      </c>
      <c r="V122" s="77" t="s">
        <v>162</v>
      </c>
      <c r="W122" s="77" t="s">
        <v>162</v>
      </c>
      <c r="X122" s="77" t="s">
        <v>162</v>
      </c>
      <c r="Y122" s="10" t="s">
        <v>162</v>
      </c>
      <c r="Z122" s="10" t="s">
        <v>162</v>
      </c>
      <c r="AA122" s="10" t="s">
        <v>162</v>
      </c>
      <c r="AB122" s="10" t="s">
        <v>162</v>
      </c>
      <c r="AC122" s="10" t="s">
        <v>162</v>
      </c>
      <c r="AD122" s="21" t="s">
        <v>162</v>
      </c>
      <c r="AE122" s="21" t="s">
        <v>162</v>
      </c>
      <c r="AF122" s="10" t="s">
        <v>162</v>
      </c>
      <c r="AG122" s="10" t="s">
        <v>162</v>
      </c>
      <c r="AH122" s="21" t="s">
        <v>162</v>
      </c>
      <c r="AI122" s="21" t="s">
        <v>162</v>
      </c>
      <c r="AJ122" s="21" t="s">
        <v>162</v>
      </c>
      <c r="AK122" s="21" t="s">
        <v>162</v>
      </c>
      <c r="AL122" s="21" t="s">
        <v>162</v>
      </c>
      <c r="AM122" s="21" t="s">
        <v>162</v>
      </c>
      <c r="AN122" s="21" t="s">
        <v>162</v>
      </c>
      <c r="AO122" s="10" t="s">
        <v>162</v>
      </c>
      <c r="AP122" s="21" t="s">
        <v>162</v>
      </c>
      <c r="AQ122" s="10" t="s">
        <v>830</v>
      </c>
      <c r="AR122" s="10" t="s">
        <v>834</v>
      </c>
      <c r="AS122" s="10" t="s">
        <v>162</v>
      </c>
      <c r="AT122" s="10" t="s">
        <v>835</v>
      </c>
      <c r="AU122" s="10" t="s">
        <v>162</v>
      </c>
      <c r="AV122" s="10" t="s">
        <v>162</v>
      </c>
      <c r="AW122" s="10"/>
    </row>
    <row r="123" spans="1:49">
      <c r="A123" s="10" t="s">
        <v>836</v>
      </c>
      <c r="B123" s="21" t="s">
        <v>162</v>
      </c>
      <c r="C123" s="74" t="s">
        <v>163</v>
      </c>
      <c r="D123" s="74">
        <v>45035</v>
      </c>
      <c r="E123" s="10" t="s">
        <v>837</v>
      </c>
      <c r="F123" s="75" t="str">
        <f>VLOOKUP($E123,'Item Classification'!B:C,2,0)</f>
        <v>Communication equipment</v>
      </c>
      <c r="G123" s="10" t="str">
        <f>VLOOKUP($E123,'Item Classification'!B:D,3,0)</f>
        <v>Modernisation</v>
      </c>
      <c r="H123" s="76">
        <f>VLOOKUP($E123,'Item Classification'!B:E,4,0)</f>
        <v>13</v>
      </c>
      <c r="I123" s="81">
        <v>7800</v>
      </c>
      <c r="J123" s="81" t="s">
        <v>162</v>
      </c>
      <c r="K123" s="81" t="s">
        <v>162</v>
      </c>
      <c r="L123" s="81" t="s">
        <v>162</v>
      </c>
      <c r="M123" s="81" t="s">
        <v>162</v>
      </c>
      <c r="N123" s="10" t="s">
        <v>165</v>
      </c>
      <c r="O123" s="10" t="s">
        <v>162</v>
      </c>
      <c r="P123" s="10" t="s">
        <v>163</v>
      </c>
      <c r="Q123" s="77">
        <v>40</v>
      </c>
      <c r="R123" s="77">
        <v>1</v>
      </c>
      <c r="S123" s="77">
        <v>0</v>
      </c>
      <c r="T123" s="77">
        <v>0</v>
      </c>
      <c r="U123" s="77" t="s">
        <v>162</v>
      </c>
      <c r="V123" s="77" t="s">
        <v>162</v>
      </c>
      <c r="W123" s="77" t="s">
        <v>162</v>
      </c>
      <c r="X123" s="77" t="s">
        <v>162</v>
      </c>
      <c r="Y123" s="10" t="s">
        <v>162</v>
      </c>
      <c r="Z123" s="10" t="s">
        <v>162</v>
      </c>
      <c r="AA123" s="10" t="s">
        <v>162</v>
      </c>
      <c r="AB123" s="10" t="s">
        <v>162</v>
      </c>
      <c r="AC123" s="10" t="s">
        <v>162</v>
      </c>
      <c r="AD123" s="21" t="s">
        <v>162</v>
      </c>
      <c r="AE123" s="21" t="s">
        <v>162</v>
      </c>
      <c r="AF123" s="10" t="s">
        <v>162</v>
      </c>
      <c r="AG123" s="10" t="s">
        <v>162</v>
      </c>
      <c r="AH123" s="21" t="s">
        <v>162</v>
      </c>
      <c r="AI123" s="21" t="s">
        <v>162</v>
      </c>
      <c r="AJ123" s="21" t="s">
        <v>162</v>
      </c>
      <c r="AK123" s="21" t="s">
        <v>162</v>
      </c>
      <c r="AL123" s="21" t="s">
        <v>162</v>
      </c>
      <c r="AM123" s="21" t="s">
        <v>162</v>
      </c>
      <c r="AN123" s="21" t="s">
        <v>162</v>
      </c>
      <c r="AO123" s="10" t="s">
        <v>162</v>
      </c>
      <c r="AP123" s="21" t="s">
        <v>162</v>
      </c>
      <c r="AQ123" s="10" t="s">
        <v>830</v>
      </c>
      <c r="AR123" s="10" t="s">
        <v>838</v>
      </c>
      <c r="AS123" s="10" t="s">
        <v>162</v>
      </c>
      <c r="AT123" s="10" t="s">
        <v>835</v>
      </c>
      <c r="AU123" s="10" t="s">
        <v>162</v>
      </c>
      <c r="AV123" s="10" t="s">
        <v>162</v>
      </c>
      <c r="AW123" s="10"/>
    </row>
    <row r="124" spans="1:49">
      <c r="A124" s="10" t="s">
        <v>839</v>
      </c>
      <c r="B124" s="21" t="s">
        <v>162</v>
      </c>
      <c r="C124" s="74" t="s">
        <v>163</v>
      </c>
      <c r="D124" s="74">
        <v>45035</v>
      </c>
      <c r="E124" s="80" t="s">
        <v>840</v>
      </c>
      <c r="F124" s="75" t="str">
        <f>VLOOKUP($E124,'Item Classification'!B:C,2,0)</f>
        <v>Communication equipment</v>
      </c>
      <c r="G124" s="10" t="str">
        <f>VLOOKUP($E124,'Item Classification'!B:D,3,0)</f>
        <v>Modernisation</v>
      </c>
      <c r="H124" s="76">
        <f>VLOOKUP($E124,'Item Classification'!B:E,4,0)</f>
        <v>13</v>
      </c>
      <c r="I124" s="81">
        <v>600</v>
      </c>
      <c r="J124" s="81" t="s">
        <v>162</v>
      </c>
      <c r="K124" s="81" t="s">
        <v>162</v>
      </c>
      <c r="L124" s="81" t="s">
        <v>162</v>
      </c>
      <c r="M124" s="81" t="s">
        <v>162</v>
      </c>
      <c r="N124" s="10" t="s">
        <v>165</v>
      </c>
      <c r="O124" s="10" t="s">
        <v>162</v>
      </c>
      <c r="P124" s="10" t="s">
        <v>163</v>
      </c>
      <c r="Q124" s="77">
        <v>40</v>
      </c>
      <c r="R124" s="77">
        <v>1</v>
      </c>
      <c r="S124" s="77">
        <v>0</v>
      </c>
      <c r="T124" s="77">
        <v>0</v>
      </c>
      <c r="U124" s="77" t="s">
        <v>162</v>
      </c>
      <c r="V124" s="77" t="s">
        <v>162</v>
      </c>
      <c r="W124" s="77" t="s">
        <v>162</v>
      </c>
      <c r="X124" s="77" t="s">
        <v>162</v>
      </c>
      <c r="Y124" s="10" t="s">
        <v>162</v>
      </c>
      <c r="Z124" s="10" t="s">
        <v>162</v>
      </c>
      <c r="AA124" s="10" t="s">
        <v>162</v>
      </c>
      <c r="AB124" s="10" t="s">
        <v>162</v>
      </c>
      <c r="AC124" s="10" t="s">
        <v>162</v>
      </c>
      <c r="AD124" s="21" t="s">
        <v>162</v>
      </c>
      <c r="AE124" s="21" t="s">
        <v>162</v>
      </c>
      <c r="AF124" s="10" t="s">
        <v>162</v>
      </c>
      <c r="AG124" s="10" t="s">
        <v>162</v>
      </c>
      <c r="AH124" s="21" t="s">
        <v>162</v>
      </c>
      <c r="AI124" s="21" t="s">
        <v>162</v>
      </c>
      <c r="AJ124" s="21" t="s">
        <v>162</v>
      </c>
      <c r="AK124" s="21" t="s">
        <v>162</v>
      </c>
      <c r="AL124" s="21" t="s">
        <v>162</v>
      </c>
      <c r="AM124" s="21" t="s">
        <v>162</v>
      </c>
      <c r="AN124" s="21" t="s">
        <v>162</v>
      </c>
      <c r="AO124" s="10" t="s">
        <v>162</v>
      </c>
      <c r="AP124" s="21" t="s">
        <v>162</v>
      </c>
      <c r="AQ124" s="10" t="s">
        <v>841</v>
      </c>
      <c r="AR124" s="10" t="s">
        <v>842</v>
      </c>
      <c r="AS124" s="10" t="s">
        <v>162</v>
      </c>
      <c r="AT124" s="10" t="s">
        <v>835</v>
      </c>
      <c r="AU124" s="10" t="s">
        <v>162</v>
      </c>
      <c r="AV124" s="10" t="s">
        <v>162</v>
      </c>
      <c r="AW124" s="10"/>
    </row>
    <row r="125" spans="1:49">
      <c r="A125" s="10" t="s">
        <v>843</v>
      </c>
      <c r="B125" s="21" t="s">
        <v>162</v>
      </c>
      <c r="C125" s="74" t="s">
        <v>163</v>
      </c>
      <c r="D125" s="74">
        <v>45035</v>
      </c>
      <c r="E125" s="10" t="s">
        <v>844</v>
      </c>
      <c r="F125" s="75" t="str">
        <f>VLOOKUP($E125,'Item Classification'!B:C,2,0)</f>
        <v>Communication equipment</v>
      </c>
      <c r="G125" s="10" t="str">
        <f>VLOOKUP($E125,'Item Classification'!B:D,3,0)</f>
        <v>Modernisation</v>
      </c>
      <c r="H125" s="76">
        <f>VLOOKUP($E125,'Item Classification'!B:E,4,0)</f>
        <v>13</v>
      </c>
      <c r="I125" s="81">
        <v>5900</v>
      </c>
      <c r="J125" s="81" t="s">
        <v>162</v>
      </c>
      <c r="K125" s="81" t="s">
        <v>162</v>
      </c>
      <c r="L125" s="81" t="s">
        <v>162</v>
      </c>
      <c r="M125" s="81" t="s">
        <v>162</v>
      </c>
      <c r="N125" s="10" t="s">
        <v>165</v>
      </c>
      <c r="O125" s="10" t="s">
        <v>162</v>
      </c>
      <c r="P125" s="10" t="s">
        <v>163</v>
      </c>
      <c r="Q125" s="77">
        <v>40</v>
      </c>
      <c r="R125" s="77">
        <v>1</v>
      </c>
      <c r="S125" s="77">
        <v>0</v>
      </c>
      <c r="T125" s="77">
        <v>0</v>
      </c>
      <c r="U125" s="77" t="s">
        <v>162</v>
      </c>
      <c r="V125" s="77" t="s">
        <v>162</v>
      </c>
      <c r="W125" s="77" t="s">
        <v>162</v>
      </c>
      <c r="X125" s="77" t="s">
        <v>162</v>
      </c>
      <c r="Y125" s="10" t="s">
        <v>162</v>
      </c>
      <c r="Z125" s="10" t="s">
        <v>162</v>
      </c>
      <c r="AA125" s="10" t="s">
        <v>162</v>
      </c>
      <c r="AB125" s="10" t="s">
        <v>162</v>
      </c>
      <c r="AC125" s="10" t="s">
        <v>162</v>
      </c>
      <c r="AD125" s="21" t="s">
        <v>162</v>
      </c>
      <c r="AE125" s="21" t="s">
        <v>162</v>
      </c>
      <c r="AF125" s="10" t="s">
        <v>162</v>
      </c>
      <c r="AG125" s="10" t="s">
        <v>162</v>
      </c>
      <c r="AH125" s="21" t="s">
        <v>162</v>
      </c>
      <c r="AI125" s="21" t="s">
        <v>162</v>
      </c>
      <c r="AJ125" s="21" t="s">
        <v>162</v>
      </c>
      <c r="AK125" s="21" t="s">
        <v>162</v>
      </c>
      <c r="AL125" s="21" t="s">
        <v>162</v>
      </c>
      <c r="AM125" s="21" t="s">
        <v>162</v>
      </c>
      <c r="AN125" s="21" t="s">
        <v>162</v>
      </c>
      <c r="AO125" s="10" t="s">
        <v>162</v>
      </c>
      <c r="AP125" s="21" t="s">
        <v>162</v>
      </c>
      <c r="AQ125" s="10" t="s">
        <v>845</v>
      </c>
      <c r="AR125" s="10" t="s">
        <v>846</v>
      </c>
      <c r="AS125" s="10" t="s">
        <v>162</v>
      </c>
      <c r="AT125" s="10" t="s">
        <v>835</v>
      </c>
      <c r="AU125" s="10" t="s">
        <v>162</v>
      </c>
      <c r="AV125" s="10" t="s">
        <v>162</v>
      </c>
      <c r="AW125" s="10"/>
    </row>
    <row r="126" spans="1:49">
      <c r="A126" s="10" t="s">
        <v>847</v>
      </c>
      <c r="B126" s="21" t="s">
        <v>162</v>
      </c>
      <c r="C126" s="74" t="s">
        <v>163</v>
      </c>
      <c r="D126" s="74">
        <v>45035</v>
      </c>
      <c r="E126" s="10" t="s">
        <v>848</v>
      </c>
      <c r="F126" s="75" t="str">
        <f>VLOOKUP($E126,'Item Classification'!B:C,2,0)</f>
        <v>Communication equipment</v>
      </c>
      <c r="G126" s="10" t="str">
        <f>VLOOKUP($E126,'Item Classification'!B:D,3,0)</f>
        <v>Modernisation</v>
      </c>
      <c r="H126" s="76">
        <f>VLOOKUP($E126,'Item Classification'!B:E,4,0)</f>
        <v>13</v>
      </c>
      <c r="I126" s="81">
        <v>1800</v>
      </c>
      <c r="J126" s="81" t="s">
        <v>162</v>
      </c>
      <c r="K126" s="81" t="s">
        <v>162</v>
      </c>
      <c r="L126" s="81" t="s">
        <v>162</v>
      </c>
      <c r="M126" s="81" t="s">
        <v>162</v>
      </c>
      <c r="N126" s="10" t="s">
        <v>165</v>
      </c>
      <c r="O126" s="10" t="s">
        <v>162</v>
      </c>
      <c r="P126" s="10" t="s">
        <v>163</v>
      </c>
      <c r="Q126" s="77">
        <v>40</v>
      </c>
      <c r="R126" s="77">
        <v>1</v>
      </c>
      <c r="S126" s="77">
        <v>0</v>
      </c>
      <c r="T126" s="77">
        <v>0</v>
      </c>
      <c r="U126" s="77" t="s">
        <v>162</v>
      </c>
      <c r="V126" s="77" t="s">
        <v>162</v>
      </c>
      <c r="W126" s="77" t="s">
        <v>162</v>
      </c>
      <c r="X126" s="77" t="s">
        <v>162</v>
      </c>
      <c r="Y126" s="10" t="s">
        <v>162</v>
      </c>
      <c r="Z126" s="10" t="s">
        <v>162</v>
      </c>
      <c r="AA126" s="10" t="s">
        <v>162</v>
      </c>
      <c r="AB126" s="10" t="s">
        <v>162</v>
      </c>
      <c r="AC126" s="10" t="s">
        <v>162</v>
      </c>
      <c r="AD126" s="21" t="s">
        <v>162</v>
      </c>
      <c r="AE126" s="21" t="s">
        <v>162</v>
      </c>
      <c r="AF126" s="10" t="s">
        <v>162</v>
      </c>
      <c r="AG126" s="10" t="s">
        <v>162</v>
      </c>
      <c r="AH126" s="21" t="s">
        <v>162</v>
      </c>
      <c r="AI126" s="21" t="s">
        <v>162</v>
      </c>
      <c r="AJ126" s="21" t="s">
        <v>162</v>
      </c>
      <c r="AK126" s="21" t="s">
        <v>162</v>
      </c>
      <c r="AL126" s="21" t="s">
        <v>162</v>
      </c>
      <c r="AM126" s="21" t="s">
        <v>162</v>
      </c>
      <c r="AN126" s="21" t="s">
        <v>162</v>
      </c>
      <c r="AO126" s="10" t="s">
        <v>162</v>
      </c>
      <c r="AP126" s="21" t="s">
        <v>162</v>
      </c>
      <c r="AQ126" s="10" t="s">
        <v>849</v>
      </c>
      <c r="AR126" s="10" t="s">
        <v>850</v>
      </c>
      <c r="AS126" s="10" t="s">
        <v>162</v>
      </c>
      <c r="AT126" s="10" t="s">
        <v>835</v>
      </c>
      <c r="AU126" s="10" t="s">
        <v>162</v>
      </c>
      <c r="AV126" s="10" t="s">
        <v>162</v>
      </c>
      <c r="AW126" s="10"/>
    </row>
    <row r="127" spans="1:49">
      <c r="A127" s="10" t="s">
        <v>851</v>
      </c>
      <c r="B127" s="21" t="s">
        <v>162</v>
      </c>
      <c r="C127" s="74" t="s">
        <v>163</v>
      </c>
      <c r="D127" s="74">
        <v>45035</v>
      </c>
      <c r="E127" s="10" t="s">
        <v>852</v>
      </c>
      <c r="F127" s="75" t="str">
        <f>VLOOKUP($E127,'Item Classification'!B:C,2,0)</f>
        <v>Communication equipment</v>
      </c>
      <c r="G127" s="10" t="str">
        <f>VLOOKUP($E127,'Item Classification'!B:D,3,0)</f>
        <v>Modernisation</v>
      </c>
      <c r="H127" s="76">
        <f>VLOOKUP($E127,'Item Classification'!B:E,4,0)</f>
        <v>13</v>
      </c>
      <c r="I127" s="81">
        <v>800</v>
      </c>
      <c r="J127" s="81" t="s">
        <v>162</v>
      </c>
      <c r="K127" s="81" t="s">
        <v>162</v>
      </c>
      <c r="L127" s="81" t="s">
        <v>162</v>
      </c>
      <c r="M127" s="81" t="s">
        <v>162</v>
      </c>
      <c r="N127" s="10" t="s">
        <v>165</v>
      </c>
      <c r="O127" s="10" t="s">
        <v>162</v>
      </c>
      <c r="P127" s="10" t="s">
        <v>163</v>
      </c>
      <c r="Q127" s="77">
        <v>40</v>
      </c>
      <c r="R127" s="77">
        <v>1</v>
      </c>
      <c r="S127" s="77">
        <v>0</v>
      </c>
      <c r="T127" s="77">
        <v>0</v>
      </c>
      <c r="U127" s="77" t="s">
        <v>162</v>
      </c>
      <c r="V127" s="77" t="s">
        <v>162</v>
      </c>
      <c r="W127" s="77" t="s">
        <v>162</v>
      </c>
      <c r="X127" s="77" t="s">
        <v>162</v>
      </c>
      <c r="Y127" s="10" t="s">
        <v>162</v>
      </c>
      <c r="Z127" s="10" t="s">
        <v>162</v>
      </c>
      <c r="AA127" s="10" t="s">
        <v>162</v>
      </c>
      <c r="AB127" s="10" t="s">
        <v>162</v>
      </c>
      <c r="AC127" s="10" t="s">
        <v>162</v>
      </c>
      <c r="AD127" s="21" t="s">
        <v>162</v>
      </c>
      <c r="AE127" s="21" t="s">
        <v>162</v>
      </c>
      <c r="AF127" s="10" t="s">
        <v>162</v>
      </c>
      <c r="AG127" s="10" t="s">
        <v>162</v>
      </c>
      <c r="AH127" s="21" t="s">
        <v>162</v>
      </c>
      <c r="AI127" s="21" t="s">
        <v>162</v>
      </c>
      <c r="AJ127" s="21" t="s">
        <v>162</v>
      </c>
      <c r="AK127" s="21" t="s">
        <v>162</v>
      </c>
      <c r="AL127" s="21" t="s">
        <v>162</v>
      </c>
      <c r="AM127" s="21" t="s">
        <v>162</v>
      </c>
      <c r="AN127" s="21" t="s">
        <v>162</v>
      </c>
      <c r="AO127" s="10" t="s">
        <v>162</v>
      </c>
      <c r="AP127" s="21" t="s">
        <v>162</v>
      </c>
      <c r="AQ127" s="10" t="s">
        <v>853</v>
      </c>
      <c r="AR127" s="10" t="s">
        <v>854</v>
      </c>
      <c r="AS127" s="10" t="s">
        <v>162</v>
      </c>
      <c r="AT127" s="10" t="s">
        <v>835</v>
      </c>
      <c r="AU127" s="10" t="s">
        <v>162</v>
      </c>
      <c r="AV127" s="10" t="s">
        <v>162</v>
      </c>
      <c r="AW127" s="10"/>
    </row>
    <row r="128" spans="1:49">
      <c r="A128" s="10" t="s">
        <v>855</v>
      </c>
      <c r="B128" s="21" t="s">
        <v>162</v>
      </c>
      <c r="C128" s="74" t="s">
        <v>163</v>
      </c>
      <c r="D128" s="74">
        <v>45035</v>
      </c>
      <c r="E128" s="10" t="s">
        <v>856</v>
      </c>
      <c r="F128" s="75" t="str">
        <f>VLOOKUP($E128,'Item Classification'!B:C,2,0)</f>
        <v>Communication equipment</v>
      </c>
      <c r="G128" s="10" t="str">
        <f>VLOOKUP($E128,'Item Classification'!B:D,3,0)</f>
        <v>Modernisation</v>
      </c>
      <c r="H128" s="76">
        <f>VLOOKUP($E128,'Item Classification'!B:E,4,0)</f>
        <v>13</v>
      </c>
      <c r="I128" s="81">
        <v>800</v>
      </c>
      <c r="J128" s="81" t="s">
        <v>162</v>
      </c>
      <c r="K128" s="81" t="s">
        <v>162</v>
      </c>
      <c r="L128" s="81" t="s">
        <v>162</v>
      </c>
      <c r="M128" s="81" t="s">
        <v>162</v>
      </c>
      <c r="N128" s="10" t="s">
        <v>165</v>
      </c>
      <c r="O128" s="10" t="s">
        <v>162</v>
      </c>
      <c r="P128" s="10" t="s">
        <v>163</v>
      </c>
      <c r="Q128" s="77">
        <v>40</v>
      </c>
      <c r="R128" s="77">
        <v>1</v>
      </c>
      <c r="S128" s="77">
        <v>0</v>
      </c>
      <c r="T128" s="77">
        <v>0</v>
      </c>
      <c r="U128" s="77" t="s">
        <v>162</v>
      </c>
      <c r="V128" s="77" t="s">
        <v>162</v>
      </c>
      <c r="W128" s="77" t="s">
        <v>162</v>
      </c>
      <c r="X128" s="77" t="s">
        <v>162</v>
      </c>
      <c r="Y128" s="10" t="s">
        <v>162</v>
      </c>
      <c r="Z128" s="10" t="s">
        <v>162</v>
      </c>
      <c r="AA128" s="10" t="s">
        <v>162</v>
      </c>
      <c r="AB128" s="10" t="s">
        <v>162</v>
      </c>
      <c r="AC128" s="10" t="s">
        <v>162</v>
      </c>
      <c r="AD128" s="21" t="s">
        <v>162</v>
      </c>
      <c r="AE128" s="21" t="s">
        <v>162</v>
      </c>
      <c r="AF128" s="10" t="s">
        <v>162</v>
      </c>
      <c r="AG128" s="10" t="s">
        <v>162</v>
      </c>
      <c r="AH128" s="21" t="s">
        <v>162</v>
      </c>
      <c r="AI128" s="21" t="s">
        <v>162</v>
      </c>
      <c r="AJ128" s="21" t="s">
        <v>162</v>
      </c>
      <c r="AK128" s="21" t="s">
        <v>162</v>
      </c>
      <c r="AL128" s="21" t="s">
        <v>162</v>
      </c>
      <c r="AM128" s="21" t="s">
        <v>162</v>
      </c>
      <c r="AN128" s="21" t="s">
        <v>162</v>
      </c>
      <c r="AO128" s="10" t="s">
        <v>162</v>
      </c>
      <c r="AP128" s="21" t="s">
        <v>162</v>
      </c>
      <c r="AQ128" s="10" t="s">
        <v>857</v>
      </c>
      <c r="AR128" s="10" t="s">
        <v>858</v>
      </c>
      <c r="AS128" s="10" t="s">
        <v>162</v>
      </c>
      <c r="AT128" s="10" t="s">
        <v>835</v>
      </c>
      <c r="AU128" s="10" t="s">
        <v>162</v>
      </c>
      <c r="AV128" s="10" t="s">
        <v>162</v>
      </c>
      <c r="AW128" s="10"/>
    </row>
    <row r="129" spans="1:49">
      <c r="A129" s="10" t="s">
        <v>859</v>
      </c>
      <c r="B129" s="21" t="s">
        <v>162</v>
      </c>
      <c r="C129" s="74" t="s">
        <v>163</v>
      </c>
      <c r="D129" s="74">
        <v>45035</v>
      </c>
      <c r="E129" s="10" t="s">
        <v>860</v>
      </c>
      <c r="F129" s="75" t="str">
        <f>VLOOKUP($E129,'Item Classification'!B:C,2,0)</f>
        <v>Communication equipment</v>
      </c>
      <c r="G129" s="10" t="str">
        <f>VLOOKUP($E129,'Item Classification'!B:D,3,0)</f>
        <v>Modernisation</v>
      </c>
      <c r="H129" s="76">
        <f>VLOOKUP($E129,'Item Classification'!B:E,4,0)</f>
        <v>13</v>
      </c>
      <c r="I129" s="81">
        <v>2400</v>
      </c>
      <c r="J129" s="81" t="s">
        <v>162</v>
      </c>
      <c r="K129" s="81" t="s">
        <v>162</v>
      </c>
      <c r="L129" s="81" t="s">
        <v>162</v>
      </c>
      <c r="M129" s="81" t="s">
        <v>162</v>
      </c>
      <c r="N129" s="10" t="s">
        <v>165</v>
      </c>
      <c r="O129" s="10" t="s">
        <v>162</v>
      </c>
      <c r="P129" s="10" t="s">
        <v>163</v>
      </c>
      <c r="Q129" s="77">
        <v>40</v>
      </c>
      <c r="R129" s="77">
        <v>1</v>
      </c>
      <c r="S129" s="77">
        <v>0</v>
      </c>
      <c r="T129" s="77">
        <v>0</v>
      </c>
      <c r="U129" s="77" t="s">
        <v>162</v>
      </c>
      <c r="V129" s="77" t="s">
        <v>162</v>
      </c>
      <c r="W129" s="77" t="s">
        <v>162</v>
      </c>
      <c r="X129" s="77" t="s">
        <v>162</v>
      </c>
      <c r="Y129" s="10" t="s">
        <v>162</v>
      </c>
      <c r="Z129" s="10" t="s">
        <v>162</v>
      </c>
      <c r="AA129" s="10" t="s">
        <v>162</v>
      </c>
      <c r="AB129" s="10" t="s">
        <v>162</v>
      </c>
      <c r="AC129" s="10" t="s">
        <v>162</v>
      </c>
      <c r="AD129" s="21" t="s">
        <v>162</v>
      </c>
      <c r="AE129" s="21" t="s">
        <v>162</v>
      </c>
      <c r="AF129" s="10" t="s">
        <v>162</v>
      </c>
      <c r="AG129" s="10" t="s">
        <v>162</v>
      </c>
      <c r="AH129" s="21" t="s">
        <v>162</v>
      </c>
      <c r="AI129" s="21" t="s">
        <v>162</v>
      </c>
      <c r="AJ129" s="21" t="s">
        <v>162</v>
      </c>
      <c r="AK129" s="21" t="s">
        <v>162</v>
      </c>
      <c r="AL129" s="21" t="s">
        <v>162</v>
      </c>
      <c r="AM129" s="21" t="s">
        <v>162</v>
      </c>
      <c r="AN129" s="21" t="s">
        <v>162</v>
      </c>
      <c r="AO129" s="10" t="s">
        <v>162</v>
      </c>
      <c r="AP129" s="21" t="s">
        <v>162</v>
      </c>
      <c r="AQ129" s="10" t="s">
        <v>861</v>
      </c>
      <c r="AR129" s="10" t="s">
        <v>862</v>
      </c>
      <c r="AS129" s="10" t="s">
        <v>162</v>
      </c>
      <c r="AT129" s="10" t="s">
        <v>835</v>
      </c>
      <c r="AU129" s="10" t="s">
        <v>162</v>
      </c>
      <c r="AV129" s="10" t="s">
        <v>162</v>
      </c>
      <c r="AW129" s="10"/>
    </row>
    <row r="130" spans="1:49">
      <c r="A130" s="10" t="s">
        <v>863</v>
      </c>
      <c r="B130" s="21" t="s">
        <v>162</v>
      </c>
      <c r="C130" s="74" t="s">
        <v>163</v>
      </c>
      <c r="D130" s="74">
        <v>45035</v>
      </c>
      <c r="E130" s="10" t="s">
        <v>864</v>
      </c>
      <c r="F130" s="75" t="str">
        <f>VLOOKUP($E130,'Item Classification'!B:C,2,0)</f>
        <v>Communication equipment</v>
      </c>
      <c r="G130" s="10" t="str">
        <f>VLOOKUP($E130,'Item Classification'!B:D,3,0)</f>
        <v>Modernisation</v>
      </c>
      <c r="H130" s="76">
        <f>VLOOKUP($E130,'Item Classification'!B:E,4,0)</f>
        <v>13</v>
      </c>
      <c r="I130" s="81">
        <v>5500</v>
      </c>
      <c r="J130" s="81" t="s">
        <v>162</v>
      </c>
      <c r="K130" s="81" t="s">
        <v>162</v>
      </c>
      <c r="L130" s="81" t="s">
        <v>162</v>
      </c>
      <c r="M130" s="81" t="s">
        <v>162</v>
      </c>
      <c r="N130" s="10" t="s">
        <v>165</v>
      </c>
      <c r="O130" s="10" t="s">
        <v>162</v>
      </c>
      <c r="P130" s="10" t="s">
        <v>163</v>
      </c>
      <c r="Q130" s="77">
        <v>40</v>
      </c>
      <c r="R130" s="77">
        <v>1</v>
      </c>
      <c r="S130" s="77">
        <v>0</v>
      </c>
      <c r="T130" s="77">
        <v>0</v>
      </c>
      <c r="U130" s="77" t="s">
        <v>162</v>
      </c>
      <c r="V130" s="77" t="s">
        <v>162</v>
      </c>
      <c r="W130" s="77" t="s">
        <v>162</v>
      </c>
      <c r="X130" s="77" t="s">
        <v>162</v>
      </c>
      <c r="Y130" s="10" t="s">
        <v>162</v>
      </c>
      <c r="Z130" s="10" t="s">
        <v>162</v>
      </c>
      <c r="AA130" s="10" t="s">
        <v>162</v>
      </c>
      <c r="AB130" s="10" t="s">
        <v>162</v>
      </c>
      <c r="AC130" s="10" t="s">
        <v>162</v>
      </c>
      <c r="AD130" s="21" t="s">
        <v>162</v>
      </c>
      <c r="AE130" s="21" t="s">
        <v>162</v>
      </c>
      <c r="AF130" s="10" t="s">
        <v>162</v>
      </c>
      <c r="AG130" s="10" t="s">
        <v>162</v>
      </c>
      <c r="AH130" s="21" t="s">
        <v>162</v>
      </c>
      <c r="AI130" s="21" t="s">
        <v>162</v>
      </c>
      <c r="AJ130" s="21" t="s">
        <v>162</v>
      </c>
      <c r="AK130" s="21" t="s">
        <v>162</v>
      </c>
      <c r="AL130" s="21" t="s">
        <v>162</v>
      </c>
      <c r="AM130" s="21" t="s">
        <v>162</v>
      </c>
      <c r="AN130" s="21" t="s">
        <v>162</v>
      </c>
      <c r="AO130" s="10" t="s">
        <v>162</v>
      </c>
      <c r="AP130" s="21" t="s">
        <v>162</v>
      </c>
      <c r="AQ130" s="10" t="s">
        <v>865</v>
      </c>
      <c r="AR130" s="10" t="s">
        <v>866</v>
      </c>
      <c r="AS130" s="10" t="s">
        <v>162</v>
      </c>
      <c r="AT130" s="10" t="s">
        <v>835</v>
      </c>
      <c r="AU130" s="10" t="s">
        <v>162</v>
      </c>
      <c r="AV130" s="10" t="s">
        <v>162</v>
      </c>
      <c r="AW130" s="10"/>
    </row>
    <row r="131" spans="1:49">
      <c r="A131" s="10" t="s">
        <v>867</v>
      </c>
      <c r="B131" s="21" t="s">
        <v>162</v>
      </c>
      <c r="C131" s="74" t="s">
        <v>163</v>
      </c>
      <c r="D131" s="74">
        <v>45035</v>
      </c>
      <c r="E131" s="10" t="s">
        <v>852</v>
      </c>
      <c r="F131" s="75" t="str">
        <f>VLOOKUP($E131,'Item Classification'!B:C,2,0)</f>
        <v>Communication equipment</v>
      </c>
      <c r="G131" s="10" t="str">
        <f>VLOOKUP($E131,'Item Classification'!B:D,3,0)</f>
        <v>Modernisation</v>
      </c>
      <c r="H131" s="76">
        <f>VLOOKUP($E131,'Item Classification'!B:E,4,0)</f>
        <v>13</v>
      </c>
      <c r="I131" s="81">
        <v>1200</v>
      </c>
      <c r="J131" s="81" t="s">
        <v>162</v>
      </c>
      <c r="K131" s="81" t="s">
        <v>162</v>
      </c>
      <c r="L131" s="81" t="s">
        <v>162</v>
      </c>
      <c r="M131" s="81" t="s">
        <v>162</v>
      </c>
      <c r="N131" s="10" t="s">
        <v>165</v>
      </c>
      <c r="O131" s="10" t="s">
        <v>162</v>
      </c>
      <c r="P131" s="10" t="s">
        <v>163</v>
      </c>
      <c r="Q131" s="77">
        <v>40</v>
      </c>
      <c r="R131" s="77">
        <v>1</v>
      </c>
      <c r="S131" s="77">
        <v>0</v>
      </c>
      <c r="T131" s="77">
        <v>0</v>
      </c>
      <c r="U131" s="77" t="s">
        <v>162</v>
      </c>
      <c r="V131" s="77" t="s">
        <v>162</v>
      </c>
      <c r="W131" s="77" t="s">
        <v>162</v>
      </c>
      <c r="X131" s="77" t="s">
        <v>162</v>
      </c>
      <c r="Y131" s="10" t="s">
        <v>162</v>
      </c>
      <c r="Z131" s="10" t="s">
        <v>162</v>
      </c>
      <c r="AA131" s="10" t="s">
        <v>162</v>
      </c>
      <c r="AB131" s="10" t="s">
        <v>162</v>
      </c>
      <c r="AC131" s="10" t="s">
        <v>162</v>
      </c>
      <c r="AD131" s="21" t="s">
        <v>162</v>
      </c>
      <c r="AE131" s="21" t="s">
        <v>162</v>
      </c>
      <c r="AF131" s="10" t="s">
        <v>162</v>
      </c>
      <c r="AG131" s="10" t="s">
        <v>162</v>
      </c>
      <c r="AH131" s="21" t="s">
        <v>162</v>
      </c>
      <c r="AI131" s="21" t="s">
        <v>162</v>
      </c>
      <c r="AJ131" s="21" t="s">
        <v>162</v>
      </c>
      <c r="AK131" s="21" t="s">
        <v>162</v>
      </c>
      <c r="AL131" s="21" t="s">
        <v>162</v>
      </c>
      <c r="AM131" s="21" t="s">
        <v>162</v>
      </c>
      <c r="AN131" s="21" t="s">
        <v>162</v>
      </c>
      <c r="AO131" s="10" t="s">
        <v>162</v>
      </c>
      <c r="AP131" s="21" t="s">
        <v>162</v>
      </c>
      <c r="AQ131" s="10" t="s">
        <v>868</v>
      </c>
      <c r="AR131" s="10" t="s">
        <v>869</v>
      </c>
      <c r="AS131" s="10" t="s">
        <v>162</v>
      </c>
      <c r="AT131" s="10" t="s">
        <v>835</v>
      </c>
      <c r="AU131" s="10" t="s">
        <v>162</v>
      </c>
      <c r="AV131" s="10" t="s">
        <v>162</v>
      </c>
      <c r="AW131" s="10"/>
    </row>
    <row r="132" spans="1:49">
      <c r="A132" s="10" t="s">
        <v>870</v>
      </c>
      <c r="B132" s="21" t="s">
        <v>162</v>
      </c>
      <c r="C132" s="74" t="s">
        <v>163</v>
      </c>
      <c r="D132" s="74">
        <v>45035</v>
      </c>
      <c r="E132" s="10" t="s">
        <v>871</v>
      </c>
      <c r="F132" s="75" t="str">
        <f>VLOOKUP($E132,'Item Classification'!B:C,2,0)</f>
        <v>Communication equipment</v>
      </c>
      <c r="G132" s="10" t="str">
        <f>VLOOKUP($E132,'Item Classification'!B:D,3,0)</f>
        <v>Modernisation</v>
      </c>
      <c r="H132" s="76">
        <f>VLOOKUP($E132,'Item Classification'!B:E,4,0)</f>
        <v>13</v>
      </c>
      <c r="I132" s="81">
        <v>3500</v>
      </c>
      <c r="J132" s="81" t="s">
        <v>162</v>
      </c>
      <c r="K132" s="81" t="s">
        <v>162</v>
      </c>
      <c r="L132" s="81" t="s">
        <v>162</v>
      </c>
      <c r="M132" s="81" t="s">
        <v>162</v>
      </c>
      <c r="N132" s="10" t="s">
        <v>165</v>
      </c>
      <c r="O132" s="10" t="s">
        <v>162</v>
      </c>
      <c r="P132" s="10" t="s">
        <v>163</v>
      </c>
      <c r="Q132" s="77">
        <v>40</v>
      </c>
      <c r="R132" s="77">
        <v>1</v>
      </c>
      <c r="S132" s="77">
        <v>0</v>
      </c>
      <c r="T132" s="77">
        <v>0</v>
      </c>
      <c r="U132" s="77" t="s">
        <v>162</v>
      </c>
      <c r="V132" s="77" t="s">
        <v>162</v>
      </c>
      <c r="W132" s="77" t="s">
        <v>162</v>
      </c>
      <c r="X132" s="77" t="s">
        <v>162</v>
      </c>
      <c r="Y132" s="10" t="s">
        <v>162</v>
      </c>
      <c r="Z132" s="10" t="s">
        <v>162</v>
      </c>
      <c r="AA132" s="10" t="s">
        <v>162</v>
      </c>
      <c r="AB132" s="10" t="s">
        <v>162</v>
      </c>
      <c r="AC132" s="10" t="s">
        <v>162</v>
      </c>
      <c r="AD132" s="21" t="s">
        <v>162</v>
      </c>
      <c r="AE132" s="21" t="s">
        <v>162</v>
      </c>
      <c r="AF132" s="10" t="s">
        <v>162</v>
      </c>
      <c r="AG132" s="10" t="s">
        <v>162</v>
      </c>
      <c r="AH132" s="21" t="s">
        <v>162</v>
      </c>
      <c r="AI132" s="21" t="s">
        <v>162</v>
      </c>
      <c r="AJ132" s="21" t="s">
        <v>162</v>
      </c>
      <c r="AK132" s="21" t="s">
        <v>162</v>
      </c>
      <c r="AL132" s="21" t="s">
        <v>162</v>
      </c>
      <c r="AM132" s="21" t="s">
        <v>162</v>
      </c>
      <c r="AN132" s="21" t="s">
        <v>162</v>
      </c>
      <c r="AO132" s="10" t="s">
        <v>162</v>
      </c>
      <c r="AP132" s="21" t="s">
        <v>162</v>
      </c>
      <c r="AQ132" s="10" t="s">
        <v>872</v>
      </c>
      <c r="AR132" s="10" t="s">
        <v>873</v>
      </c>
      <c r="AS132" s="10" t="s">
        <v>162</v>
      </c>
      <c r="AT132" s="10" t="s">
        <v>835</v>
      </c>
      <c r="AU132" s="10" t="s">
        <v>162</v>
      </c>
      <c r="AV132" s="10" t="s">
        <v>162</v>
      </c>
      <c r="AW132" s="10"/>
    </row>
    <row r="133" spans="1:49">
      <c r="A133" s="10" t="s">
        <v>874</v>
      </c>
      <c r="B133" s="21" t="s">
        <v>162</v>
      </c>
      <c r="C133" s="74" t="s">
        <v>163</v>
      </c>
      <c r="D133" s="74">
        <v>45035</v>
      </c>
      <c r="E133" s="10" t="s">
        <v>856</v>
      </c>
      <c r="F133" s="75" t="str">
        <f>VLOOKUP($E133,'Item Classification'!B:C,2,0)</f>
        <v>Communication equipment</v>
      </c>
      <c r="G133" s="10" t="str">
        <f>VLOOKUP($E133,'Item Classification'!B:D,3,0)</f>
        <v>Modernisation</v>
      </c>
      <c r="H133" s="76">
        <f>VLOOKUP($E133,'Item Classification'!B:E,4,0)</f>
        <v>13</v>
      </c>
      <c r="I133" s="81">
        <v>5000</v>
      </c>
      <c r="J133" s="81" t="s">
        <v>162</v>
      </c>
      <c r="K133" s="81" t="s">
        <v>162</v>
      </c>
      <c r="L133" s="81" t="s">
        <v>162</v>
      </c>
      <c r="M133" s="81" t="s">
        <v>162</v>
      </c>
      <c r="N133" s="10" t="s">
        <v>165</v>
      </c>
      <c r="O133" s="10" t="s">
        <v>162</v>
      </c>
      <c r="P133" s="10" t="s">
        <v>163</v>
      </c>
      <c r="Q133" s="77">
        <v>40</v>
      </c>
      <c r="R133" s="77">
        <v>1</v>
      </c>
      <c r="S133" s="77">
        <v>0</v>
      </c>
      <c r="T133" s="77">
        <v>0</v>
      </c>
      <c r="U133" s="77" t="s">
        <v>162</v>
      </c>
      <c r="V133" s="77" t="s">
        <v>162</v>
      </c>
      <c r="W133" s="77" t="s">
        <v>162</v>
      </c>
      <c r="X133" s="77" t="s">
        <v>162</v>
      </c>
      <c r="Y133" s="10" t="s">
        <v>162</v>
      </c>
      <c r="Z133" s="10" t="s">
        <v>162</v>
      </c>
      <c r="AA133" s="10" t="s">
        <v>162</v>
      </c>
      <c r="AB133" s="10" t="s">
        <v>162</v>
      </c>
      <c r="AC133" s="10" t="s">
        <v>162</v>
      </c>
      <c r="AD133" s="21" t="s">
        <v>162</v>
      </c>
      <c r="AE133" s="21" t="s">
        <v>162</v>
      </c>
      <c r="AF133" s="10" t="s">
        <v>162</v>
      </c>
      <c r="AG133" s="10" t="s">
        <v>162</v>
      </c>
      <c r="AH133" s="21" t="s">
        <v>162</v>
      </c>
      <c r="AI133" s="21" t="s">
        <v>162</v>
      </c>
      <c r="AJ133" s="21" t="s">
        <v>162</v>
      </c>
      <c r="AK133" s="21" t="s">
        <v>162</v>
      </c>
      <c r="AL133" s="21" t="s">
        <v>162</v>
      </c>
      <c r="AM133" s="21" t="s">
        <v>162</v>
      </c>
      <c r="AN133" s="21" t="s">
        <v>162</v>
      </c>
      <c r="AO133" s="10" t="s">
        <v>162</v>
      </c>
      <c r="AP133" s="21" t="s">
        <v>162</v>
      </c>
      <c r="AQ133" s="10" t="s">
        <v>875</v>
      </c>
      <c r="AR133" s="10" t="s">
        <v>876</v>
      </c>
      <c r="AS133" s="10" t="s">
        <v>162</v>
      </c>
      <c r="AT133" s="10" t="s">
        <v>835</v>
      </c>
      <c r="AU133" s="10" t="s">
        <v>162</v>
      </c>
      <c r="AV133" s="10" t="s">
        <v>162</v>
      </c>
      <c r="AW133" s="10"/>
    </row>
    <row r="134" spans="1:49">
      <c r="A134" s="10" t="s">
        <v>877</v>
      </c>
      <c r="B134" s="21" t="s">
        <v>162</v>
      </c>
      <c r="C134" s="74" t="s">
        <v>163</v>
      </c>
      <c r="D134" s="74">
        <v>45035</v>
      </c>
      <c r="E134" s="10" t="s">
        <v>878</v>
      </c>
      <c r="F134" s="75" t="str">
        <f>VLOOKUP($E134,'Item Classification'!B:C,2,0)</f>
        <v>Communication equipment</v>
      </c>
      <c r="G134" s="10" t="str">
        <f>VLOOKUP($E134,'Item Classification'!B:D,3,0)</f>
        <v>Modernisation</v>
      </c>
      <c r="H134" s="76">
        <f>VLOOKUP($E134,'Item Classification'!B:E,4,0)</f>
        <v>13</v>
      </c>
      <c r="I134" s="81">
        <v>7500</v>
      </c>
      <c r="J134" s="81" t="s">
        <v>162</v>
      </c>
      <c r="K134" s="81" t="s">
        <v>162</v>
      </c>
      <c r="L134" s="81" t="s">
        <v>162</v>
      </c>
      <c r="M134" s="81" t="s">
        <v>162</v>
      </c>
      <c r="N134" s="10" t="s">
        <v>165</v>
      </c>
      <c r="O134" s="10" t="s">
        <v>162</v>
      </c>
      <c r="P134" s="10" t="s">
        <v>163</v>
      </c>
      <c r="Q134" s="77">
        <v>40</v>
      </c>
      <c r="R134" s="77">
        <v>1</v>
      </c>
      <c r="S134" s="77">
        <v>0</v>
      </c>
      <c r="T134" s="77">
        <v>0</v>
      </c>
      <c r="U134" s="77" t="s">
        <v>162</v>
      </c>
      <c r="V134" s="77" t="s">
        <v>162</v>
      </c>
      <c r="W134" s="77" t="s">
        <v>162</v>
      </c>
      <c r="X134" s="77" t="s">
        <v>162</v>
      </c>
      <c r="Y134" s="10" t="s">
        <v>162</v>
      </c>
      <c r="Z134" s="10" t="s">
        <v>162</v>
      </c>
      <c r="AA134" s="10" t="s">
        <v>162</v>
      </c>
      <c r="AB134" s="10" t="s">
        <v>162</v>
      </c>
      <c r="AC134" s="10" t="s">
        <v>162</v>
      </c>
      <c r="AD134" s="21" t="s">
        <v>162</v>
      </c>
      <c r="AE134" s="21" t="s">
        <v>162</v>
      </c>
      <c r="AF134" s="10" t="s">
        <v>162</v>
      </c>
      <c r="AG134" s="10" t="s">
        <v>162</v>
      </c>
      <c r="AH134" s="21" t="s">
        <v>162</v>
      </c>
      <c r="AI134" s="21" t="s">
        <v>162</v>
      </c>
      <c r="AJ134" s="21" t="s">
        <v>162</v>
      </c>
      <c r="AK134" s="21" t="s">
        <v>162</v>
      </c>
      <c r="AL134" s="21" t="s">
        <v>162</v>
      </c>
      <c r="AM134" s="21" t="s">
        <v>162</v>
      </c>
      <c r="AN134" s="21" t="s">
        <v>162</v>
      </c>
      <c r="AO134" s="10" t="s">
        <v>162</v>
      </c>
      <c r="AP134" s="21" t="s">
        <v>162</v>
      </c>
      <c r="AQ134" s="10" t="s">
        <v>879</v>
      </c>
      <c r="AR134" s="10" t="s">
        <v>834</v>
      </c>
      <c r="AS134" s="10" t="s">
        <v>162</v>
      </c>
      <c r="AT134" s="10" t="s">
        <v>835</v>
      </c>
      <c r="AU134" s="10" t="s">
        <v>162</v>
      </c>
      <c r="AV134" s="10" t="s">
        <v>162</v>
      </c>
      <c r="AW134" s="10"/>
    </row>
    <row r="135" spans="1:49">
      <c r="A135" s="10" t="s">
        <v>880</v>
      </c>
      <c r="B135" s="21" t="s">
        <v>162</v>
      </c>
      <c r="C135" s="74" t="s">
        <v>163</v>
      </c>
      <c r="D135" s="74">
        <v>45035</v>
      </c>
      <c r="E135" s="10" t="s">
        <v>291</v>
      </c>
      <c r="F135" s="75" t="str">
        <f>VLOOKUP($E135,'Item Classification'!B:C,2,0)</f>
        <v>Non-combat military vehicle</v>
      </c>
      <c r="G135" s="10" t="str">
        <f>VLOOKUP($E135,'Item Classification'!B:D,3,0)</f>
        <v>Other</v>
      </c>
      <c r="H135" s="76">
        <f>VLOOKUP($E135,'Item Classification'!B:E,4,0)</f>
        <v>16</v>
      </c>
      <c r="I135" s="81">
        <v>57</v>
      </c>
      <c r="J135" s="182">
        <f>M135/I135</f>
        <v>894736.84210526315</v>
      </c>
      <c r="K135" s="81">
        <v>2023</v>
      </c>
      <c r="L135" s="81">
        <v>2024</v>
      </c>
      <c r="M135" s="183">
        <v>51000000</v>
      </c>
      <c r="N135" s="10" t="s">
        <v>165</v>
      </c>
      <c r="O135" s="10" t="s">
        <v>162</v>
      </c>
      <c r="P135" s="10" t="s">
        <v>163</v>
      </c>
      <c r="Q135" s="77">
        <v>40</v>
      </c>
      <c r="R135" s="77">
        <v>1</v>
      </c>
      <c r="S135" s="77">
        <v>0</v>
      </c>
      <c r="T135" s="77">
        <v>0</v>
      </c>
      <c r="U135" s="77">
        <v>1</v>
      </c>
      <c r="V135" s="77">
        <v>0</v>
      </c>
      <c r="W135" s="77">
        <v>0</v>
      </c>
      <c r="X135" s="77">
        <v>0</v>
      </c>
      <c r="Y135" s="10" t="s">
        <v>268</v>
      </c>
      <c r="Z135" s="10" t="s">
        <v>163</v>
      </c>
      <c r="AA135" s="10" t="s">
        <v>162</v>
      </c>
      <c r="AB135" s="10" t="s">
        <v>162</v>
      </c>
      <c r="AC135" s="10" t="s">
        <v>162</v>
      </c>
      <c r="AD135" s="21" t="s">
        <v>162</v>
      </c>
      <c r="AE135" s="21" t="s">
        <v>162</v>
      </c>
      <c r="AF135" s="10" t="s">
        <v>162</v>
      </c>
      <c r="AG135" s="10" t="s">
        <v>162</v>
      </c>
      <c r="AH135" s="21" t="s">
        <v>162</v>
      </c>
      <c r="AI135" s="21" t="s">
        <v>162</v>
      </c>
      <c r="AJ135" s="21" t="s">
        <v>162</v>
      </c>
      <c r="AK135" s="21" t="s">
        <v>162</v>
      </c>
      <c r="AL135" s="21" t="s">
        <v>162</v>
      </c>
      <c r="AM135" s="21" t="s">
        <v>162</v>
      </c>
      <c r="AN135" s="21" t="s">
        <v>162</v>
      </c>
      <c r="AO135" s="10" t="s">
        <v>162</v>
      </c>
      <c r="AP135" s="21" t="s">
        <v>162</v>
      </c>
      <c r="AQ135" s="10" t="s">
        <v>830</v>
      </c>
      <c r="AR135" s="10" t="s">
        <v>881</v>
      </c>
      <c r="AS135" s="10" t="s">
        <v>162</v>
      </c>
      <c r="AT135" s="10" t="s">
        <v>882</v>
      </c>
      <c r="AU135" s="10" t="s">
        <v>162</v>
      </c>
      <c r="AV135" s="10" t="s">
        <v>162</v>
      </c>
      <c r="AW135" s="10"/>
    </row>
    <row r="136" spans="1:49">
      <c r="A136" s="10" t="s">
        <v>883</v>
      </c>
      <c r="B136" s="21" t="s">
        <v>162</v>
      </c>
      <c r="C136" s="74" t="s">
        <v>163</v>
      </c>
      <c r="D136" s="74">
        <v>45035</v>
      </c>
      <c r="E136" s="10" t="s">
        <v>884</v>
      </c>
      <c r="F136" s="75" t="str">
        <f>VLOOKUP($E136,'Item Classification'!B:C,2,0)</f>
        <v>Geoinformation data production</v>
      </c>
      <c r="G136" s="10" t="str">
        <f>VLOOKUP($E136,'Item Classification'!B:D,3,0)</f>
        <v>Modernisation</v>
      </c>
      <c r="H136" s="76">
        <f>VLOOKUP($E136,'Item Classification'!B:E,4,0)</f>
        <v>13</v>
      </c>
      <c r="I136" s="81" t="s">
        <v>162</v>
      </c>
      <c r="J136" s="81" t="s">
        <v>162</v>
      </c>
      <c r="K136" s="81" t="s">
        <v>162</v>
      </c>
      <c r="L136" s="81" t="s">
        <v>162</v>
      </c>
      <c r="M136" s="183">
        <v>99000000</v>
      </c>
      <c r="N136" s="10" t="s">
        <v>165</v>
      </c>
      <c r="O136" s="10" t="s">
        <v>162</v>
      </c>
      <c r="P136" s="10" t="s">
        <v>163</v>
      </c>
      <c r="Q136" s="77">
        <v>40</v>
      </c>
      <c r="R136" s="77">
        <v>1</v>
      </c>
      <c r="S136" s="77">
        <v>0</v>
      </c>
      <c r="T136" s="77">
        <v>0</v>
      </c>
      <c r="U136" s="77" t="s">
        <v>162</v>
      </c>
      <c r="V136" s="77" t="s">
        <v>162</v>
      </c>
      <c r="W136" s="77" t="s">
        <v>162</v>
      </c>
      <c r="X136" s="77" t="s">
        <v>162</v>
      </c>
      <c r="Y136" s="10" t="s">
        <v>162</v>
      </c>
      <c r="Z136" s="10" t="s">
        <v>162</v>
      </c>
      <c r="AA136" s="10" t="s">
        <v>162</v>
      </c>
      <c r="AB136" s="10" t="s">
        <v>162</v>
      </c>
      <c r="AC136" s="10" t="s">
        <v>162</v>
      </c>
      <c r="AD136" s="21" t="s">
        <v>162</v>
      </c>
      <c r="AE136" s="21" t="s">
        <v>162</v>
      </c>
      <c r="AF136" s="10" t="s">
        <v>162</v>
      </c>
      <c r="AG136" s="10" t="s">
        <v>162</v>
      </c>
      <c r="AH136" s="21" t="s">
        <v>162</v>
      </c>
      <c r="AI136" s="21" t="s">
        <v>162</v>
      </c>
      <c r="AJ136" s="21" t="s">
        <v>162</v>
      </c>
      <c r="AK136" s="21" t="s">
        <v>162</v>
      </c>
      <c r="AL136" s="21" t="s">
        <v>162</v>
      </c>
      <c r="AM136" s="21" t="s">
        <v>162</v>
      </c>
      <c r="AN136" s="21" t="s">
        <v>162</v>
      </c>
      <c r="AO136" s="10" t="s">
        <v>162</v>
      </c>
      <c r="AP136" s="21" t="s">
        <v>162</v>
      </c>
      <c r="AQ136" s="10" t="s">
        <v>830</v>
      </c>
      <c r="AR136" s="10" t="s">
        <v>162</v>
      </c>
      <c r="AS136" s="10" t="s">
        <v>162</v>
      </c>
      <c r="AT136" s="10" t="s">
        <v>885</v>
      </c>
      <c r="AU136" s="10" t="s">
        <v>162</v>
      </c>
      <c r="AV136" s="10" t="s">
        <v>162</v>
      </c>
      <c r="AW136" s="10"/>
    </row>
    <row r="137" spans="1:49">
      <c r="A137" s="10" t="s">
        <v>886</v>
      </c>
      <c r="B137" s="21" t="s">
        <v>162</v>
      </c>
      <c r="C137" s="10" t="s">
        <v>163</v>
      </c>
      <c r="D137" s="74">
        <v>45057</v>
      </c>
      <c r="E137" s="10" t="s">
        <v>887</v>
      </c>
      <c r="F137" s="75" t="str">
        <f>VLOOKUP($E137,'Item Classification'!B:C,2,0)</f>
        <v>Infantry fighting vehicle (IFV)</v>
      </c>
      <c r="G137" s="10" t="str">
        <f>VLOOKUP($E137,'Item Classification'!B:D,3,0)</f>
        <v>Armoured vehicle</v>
      </c>
      <c r="H137" s="76">
        <f>VLOOKUP($E137,'Item Classification'!B:E,4,0)</f>
        <v>2</v>
      </c>
      <c r="I137" s="81">
        <v>50</v>
      </c>
      <c r="J137" s="182">
        <f t="shared" ref="J137:J142" si="0">M137/I137</f>
        <v>21740000</v>
      </c>
      <c r="K137" s="81">
        <v>2025</v>
      </c>
      <c r="L137" s="81">
        <v>2027</v>
      </c>
      <c r="M137" s="183">
        <v>1087000000</v>
      </c>
      <c r="N137" s="10" t="s">
        <v>665</v>
      </c>
      <c r="O137" s="10" t="s">
        <v>162</v>
      </c>
      <c r="P137" s="10" t="s">
        <v>163</v>
      </c>
      <c r="Q137" s="77">
        <v>41</v>
      </c>
      <c r="R137" s="77">
        <v>1</v>
      </c>
      <c r="S137" s="77">
        <v>0</v>
      </c>
      <c r="T137" s="77">
        <v>0</v>
      </c>
      <c r="U137" s="77">
        <v>1</v>
      </c>
      <c r="V137" s="77">
        <v>0</v>
      </c>
      <c r="W137" s="77">
        <v>0</v>
      </c>
      <c r="X137" s="77">
        <v>0</v>
      </c>
      <c r="Y137" s="10" t="s">
        <v>485</v>
      </c>
      <c r="Z137" s="21" t="s">
        <v>163</v>
      </c>
      <c r="AA137" s="21" t="s">
        <v>162</v>
      </c>
      <c r="AB137" s="10" t="s">
        <v>268</v>
      </c>
      <c r="AC137" s="10" t="s">
        <v>162</v>
      </c>
      <c r="AD137" s="21" t="s">
        <v>162</v>
      </c>
      <c r="AE137" s="21" t="s">
        <v>162</v>
      </c>
      <c r="AF137" s="10" t="s">
        <v>162</v>
      </c>
      <c r="AG137" s="10" t="s">
        <v>162</v>
      </c>
      <c r="AH137" s="21" t="s">
        <v>162</v>
      </c>
      <c r="AI137" s="21" t="s">
        <v>162</v>
      </c>
      <c r="AJ137" s="21" t="s">
        <v>162</v>
      </c>
      <c r="AK137" s="21" t="s">
        <v>162</v>
      </c>
      <c r="AL137" s="21" t="s">
        <v>162</v>
      </c>
      <c r="AM137" s="21" t="s">
        <v>162</v>
      </c>
      <c r="AN137" s="21" t="s">
        <v>162</v>
      </c>
      <c r="AO137" s="10" t="s">
        <v>162</v>
      </c>
      <c r="AP137" s="21" t="s">
        <v>162</v>
      </c>
      <c r="AQ137" s="10" t="s">
        <v>888</v>
      </c>
      <c r="AR137" s="10" t="s">
        <v>889</v>
      </c>
      <c r="AS137" s="10" t="s">
        <v>890</v>
      </c>
      <c r="AT137" s="10" t="s">
        <v>891</v>
      </c>
      <c r="AU137" s="10" t="s">
        <v>892</v>
      </c>
      <c r="AV137" s="10" t="s">
        <v>162</v>
      </c>
      <c r="AW137" s="10"/>
    </row>
    <row r="138" spans="1:49">
      <c r="A138" s="10" t="s">
        <v>893</v>
      </c>
      <c r="B138" s="21" t="s">
        <v>162</v>
      </c>
      <c r="C138" s="10" t="s">
        <v>163</v>
      </c>
      <c r="D138" s="74">
        <v>45057</v>
      </c>
      <c r="E138" s="10" t="s">
        <v>894</v>
      </c>
      <c r="F138" s="75" t="str">
        <f>VLOOKUP($E138,'Item Classification'!B:C,2,0)</f>
        <v>Non-combat military vehicle</v>
      </c>
      <c r="G138" s="10" t="str">
        <f>VLOOKUP($E138,'Item Classification'!B:D,3,0)</f>
        <v>Other</v>
      </c>
      <c r="H138" s="76">
        <f>VLOOKUP($E138,'Item Classification'!B:E,4,0)</f>
        <v>16</v>
      </c>
      <c r="I138" s="81">
        <v>28</v>
      </c>
      <c r="J138" s="182">
        <f t="shared" si="0"/>
        <v>1142857.142857143</v>
      </c>
      <c r="K138" s="81">
        <v>2025</v>
      </c>
      <c r="L138" s="81">
        <v>2027</v>
      </c>
      <c r="M138" s="183">
        <v>32000000</v>
      </c>
      <c r="N138" s="10" t="s">
        <v>165</v>
      </c>
      <c r="O138" s="10" t="s">
        <v>162</v>
      </c>
      <c r="P138" s="10" t="s">
        <v>163</v>
      </c>
      <c r="Q138" s="77">
        <v>41</v>
      </c>
      <c r="R138" s="77">
        <v>0</v>
      </c>
      <c r="S138" s="77">
        <v>0</v>
      </c>
      <c r="T138" s="77">
        <v>0</v>
      </c>
      <c r="U138" s="77" t="s">
        <v>162</v>
      </c>
      <c r="V138" s="77" t="s">
        <v>162</v>
      </c>
      <c r="W138" s="77" t="s">
        <v>162</v>
      </c>
      <c r="X138" s="77" t="s">
        <v>162</v>
      </c>
      <c r="Y138" s="10" t="s">
        <v>162</v>
      </c>
      <c r="Z138" s="21" t="s">
        <v>162</v>
      </c>
      <c r="AA138" s="21" t="s">
        <v>162</v>
      </c>
      <c r="AB138" s="10" t="s">
        <v>162</v>
      </c>
      <c r="AC138" s="10" t="s">
        <v>162</v>
      </c>
      <c r="AD138" s="21" t="s">
        <v>162</v>
      </c>
      <c r="AE138" s="21" t="s">
        <v>162</v>
      </c>
      <c r="AF138" s="10" t="s">
        <v>162</v>
      </c>
      <c r="AG138" s="10" t="s">
        <v>162</v>
      </c>
      <c r="AH138" s="21" t="s">
        <v>162</v>
      </c>
      <c r="AI138" s="21" t="s">
        <v>162</v>
      </c>
      <c r="AJ138" s="21" t="s">
        <v>162</v>
      </c>
      <c r="AK138" s="21" t="s">
        <v>162</v>
      </c>
      <c r="AL138" s="21" t="s">
        <v>162</v>
      </c>
      <c r="AM138" s="21" t="s">
        <v>162</v>
      </c>
      <c r="AN138" s="21" t="s">
        <v>162</v>
      </c>
      <c r="AO138" s="10" t="s">
        <v>162</v>
      </c>
      <c r="AP138" s="21" t="s">
        <v>162</v>
      </c>
      <c r="AQ138" s="10" t="s">
        <v>888</v>
      </c>
      <c r="AR138" s="10" t="s">
        <v>162</v>
      </c>
      <c r="AS138" s="10" t="s">
        <v>162</v>
      </c>
      <c r="AT138" s="10" t="s">
        <v>895</v>
      </c>
      <c r="AU138" s="10" t="s">
        <v>162</v>
      </c>
      <c r="AV138" s="10" t="s">
        <v>162</v>
      </c>
      <c r="AW138" s="10"/>
    </row>
    <row r="139" spans="1:49">
      <c r="A139" s="10" t="s">
        <v>896</v>
      </c>
      <c r="B139" s="21" t="s">
        <v>162</v>
      </c>
      <c r="C139" s="10" t="s">
        <v>163</v>
      </c>
      <c r="D139" s="74">
        <v>45070</v>
      </c>
      <c r="E139" s="10" t="s">
        <v>897</v>
      </c>
      <c r="F139" s="75" t="str">
        <f>VLOOKUP($E139,'Item Classification'!B:C,2,0)</f>
        <v>Main Battle Tank (MBT)</v>
      </c>
      <c r="G139" s="10" t="str">
        <f>VLOOKUP($E139,'Item Classification'!B:D,3,0)</f>
        <v>Tank</v>
      </c>
      <c r="H139" s="76">
        <f>VLOOKUP($E139,'Item Classification'!B:E,4,0)</f>
        <v>1</v>
      </c>
      <c r="I139" s="81">
        <v>18</v>
      </c>
      <c r="J139" s="182">
        <f t="shared" si="0"/>
        <v>29200000</v>
      </c>
      <c r="K139" s="81">
        <v>2025</v>
      </c>
      <c r="L139" s="81">
        <v>2026</v>
      </c>
      <c r="M139" s="183">
        <v>525600000</v>
      </c>
      <c r="N139" s="10" t="s">
        <v>784</v>
      </c>
      <c r="O139" s="10" t="s">
        <v>162</v>
      </c>
      <c r="P139" s="10" t="s">
        <v>163</v>
      </c>
      <c r="Q139" s="77">
        <v>41</v>
      </c>
      <c r="R139" s="77">
        <v>1</v>
      </c>
      <c r="S139" s="77">
        <v>0</v>
      </c>
      <c r="T139" s="77">
        <v>0</v>
      </c>
      <c r="U139" s="77">
        <v>1</v>
      </c>
      <c r="V139" s="77">
        <v>0</v>
      </c>
      <c r="W139" s="77">
        <v>0</v>
      </c>
      <c r="X139" s="77">
        <v>0</v>
      </c>
      <c r="Y139" s="10" t="s">
        <v>485</v>
      </c>
      <c r="Z139" s="21" t="s">
        <v>163</v>
      </c>
      <c r="AA139" s="21" t="s">
        <v>162</v>
      </c>
      <c r="AB139" s="10" t="s">
        <v>162</v>
      </c>
      <c r="AC139" s="10" t="s">
        <v>162</v>
      </c>
      <c r="AD139" s="21" t="s">
        <v>162</v>
      </c>
      <c r="AE139" s="21" t="s">
        <v>162</v>
      </c>
      <c r="AF139" s="10" t="s">
        <v>162</v>
      </c>
      <c r="AG139" s="10" t="s">
        <v>162</v>
      </c>
      <c r="AH139" s="21" t="s">
        <v>162</v>
      </c>
      <c r="AI139" s="21" t="s">
        <v>162</v>
      </c>
      <c r="AJ139" s="21" t="s">
        <v>162</v>
      </c>
      <c r="AK139" s="21" t="s">
        <v>162</v>
      </c>
      <c r="AL139" s="21" t="s">
        <v>162</v>
      </c>
      <c r="AM139" s="21" t="s">
        <v>162</v>
      </c>
      <c r="AN139" s="21" t="s">
        <v>162</v>
      </c>
      <c r="AO139" s="10" t="s">
        <v>162</v>
      </c>
      <c r="AP139" s="21" t="s">
        <v>162</v>
      </c>
      <c r="AQ139" s="10" t="s">
        <v>898</v>
      </c>
      <c r="AR139" s="10" t="s">
        <v>899</v>
      </c>
      <c r="AS139" s="10" t="s">
        <v>900</v>
      </c>
      <c r="AT139" s="10" t="s">
        <v>901</v>
      </c>
      <c r="AU139" s="10" t="s">
        <v>902</v>
      </c>
      <c r="AV139" s="10" t="s">
        <v>162</v>
      </c>
      <c r="AW139" s="10"/>
    </row>
    <row r="140" spans="1:49">
      <c r="A140" s="10" t="s">
        <v>903</v>
      </c>
      <c r="B140" s="21" t="s">
        <v>162</v>
      </c>
      <c r="C140" s="10" t="s">
        <v>163</v>
      </c>
      <c r="D140" s="74">
        <v>45070</v>
      </c>
      <c r="E140" s="80" t="s">
        <v>811</v>
      </c>
      <c r="F140" s="75" t="str">
        <f>VLOOKUP($E140,'Item Classification'!B:C,2,0)</f>
        <v>155mm howitzer</v>
      </c>
      <c r="G140" s="10" t="str">
        <f>VLOOKUP($E140,'Item Classification'!B:D,3,0)</f>
        <v>Artillery</v>
      </c>
      <c r="H140" s="76">
        <f>VLOOKUP($E140,'Item Classification'!B:E,4,0)</f>
        <v>3</v>
      </c>
      <c r="I140" s="81">
        <v>12</v>
      </c>
      <c r="J140" s="182">
        <f t="shared" si="0"/>
        <v>15891666.666666666</v>
      </c>
      <c r="K140" s="81">
        <v>2026</v>
      </c>
      <c r="L140" s="81">
        <v>2026</v>
      </c>
      <c r="M140" s="183">
        <v>190700000</v>
      </c>
      <c r="N140" s="10" t="s">
        <v>784</v>
      </c>
      <c r="O140" s="10" t="s">
        <v>162</v>
      </c>
      <c r="P140" s="10" t="s">
        <v>163</v>
      </c>
      <c r="Q140" s="77">
        <v>41</v>
      </c>
      <c r="R140" s="77">
        <v>1</v>
      </c>
      <c r="S140" s="77">
        <v>0</v>
      </c>
      <c r="T140" s="77">
        <v>0</v>
      </c>
      <c r="U140" s="77">
        <v>1</v>
      </c>
      <c r="V140" s="77">
        <v>0</v>
      </c>
      <c r="W140" s="77">
        <v>0</v>
      </c>
      <c r="X140" s="77">
        <v>0</v>
      </c>
      <c r="Y140" s="10" t="s">
        <v>485</v>
      </c>
      <c r="Z140" s="21" t="s">
        <v>163</v>
      </c>
      <c r="AA140" s="21" t="s">
        <v>162</v>
      </c>
      <c r="AB140" s="10" t="s">
        <v>268</v>
      </c>
      <c r="AC140" s="10" t="s">
        <v>373</v>
      </c>
      <c r="AD140" s="21" t="s">
        <v>162</v>
      </c>
      <c r="AE140" s="21" t="s">
        <v>162</v>
      </c>
      <c r="AF140" s="10" t="s">
        <v>162</v>
      </c>
      <c r="AG140" s="10" t="s">
        <v>162</v>
      </c>
      <c r="AH140" s="21" t="s">
        <v>162</v>
      </c>
      <c r="AI140" s="21" t="s">
        <v>162</v>
      </c>
      <c r="AJ140" s="21" t="s">
        <v>162</v>
      </c>
      <c r="AK140" s="21" t="s">
        <v>162</v>
      </c>
      <c r="AL140" s="21" t="s">
        <v>162</v>
      </c>
      <c r="AM140" s="21" t="s">
        <v>162</v>
      </c>
      <c r="AN140" s="21" t="s">
        <v>162</v>
      </c>
      <c r="AO140" s="10" t="s">
        <v>162</v>
      </c>
      <c r="AP140" s="21" t="s">
        <v>162</v>
      </c>
      <c r="AQ140" s="10" t="s">
        <v>898</v>
      </c>
      <c r="AR140" s="10" t="s">
        <v>899</v>
      </c>
      <c r="AS140" s="10" t="s">
        <v>904</v>
      </c>
      <c r="AT140" s="10" t="s">
        <v>905</v>
      </c>
      <c r="AU140" s="10" t="s">
        <v>906</v>
      </c>
      <c r="AV140" s="10" t="s">
        <v>162</v>
      </c>
      <c r="AW140" s="10"/>
    </row>
    <row r="141" spans="1:49">
      <c r="A141" s="10" t="s">
        <v>907</v>
      </c>
      <c r="B141" s="21" t="s">
        <v>162</v>
      </c>
      <c r="C141" s="10" t="s">
        <v>163</v>
      </c>
      <c r="D141" s="74">
        <v>45070</v>
      </c>
      <c r="E141" s="10" t="s">
        <v>908</v>
      </c>
      <c r="F141" s="75" t="str">
        <f>VLOOKUP($E141,'Item Classification'!B:C,2,0)</f>
        <v>Maritime reconnaissance patrol aircraft</v>
      </c>
      <c r="G141" s="10" t="str">
        <f>VLOOKUP($E141,'Item Classification'!B:D,3,0)</f>
        <v>Naval</v>
      </c>
      <c r="H141" s="76">
        <f>VLOOKUP($E141,'Item Classification'!B:E,4,0)</f>
        <v>12</v>
      </c>
      <c r="I141" s="81">
        <v>1</v>
      </c>
      <c r="J141" s="182">
        <f t="shared" si="0"/>
        <v>180000000</v>
      </c>
      <c r="K141" s="81">
        <v>2027</v>
      </c>
      <c r="L141" s="81" t="s">
        <v>162</v>
      </c>
      <c r="M141" s="183">
        <v>180000000</v>
      </c>
      <c r="N141" s="10" t="s">
        <v>665</v>
      </c>
      <c r="O141" s="10" t="s">
        <v>162</v>
      </c>
      <c r="P141" s="10" t="s">
        <v>163</v>
      </c>
      <c r="Q141" s="77">
        <v>41</v>
      </c>
      <c r="R141" s="77">
        <v>0</v>
      </c>
      <c r="S141" s="77">
        <v>0</v>
      </c>
      <c r="T141" s="77">
        <v>1</v>
      </c>
      <c r="U141" s="77">
        <v>0</v>
      </c>
      <c r="V141" s="77">
        <v>0</v>
      </c>
      <c r="W141" s="77">
        <v>0</v>
      </c>
      <c r="X141" s="77">
        <v>0</v>
      </c>
      <c r="Y141" s="10" t="s">
        <v>214</v>
      </c>
      <c r="Z141" s="21" t="s">
        <v>218</v>
      </c>
      <c r="AA141" s="21" t="s">
        <v>162</v>
      </c>
      <c r="AB141" s="10" t="s">
        <v>162</v>
      </c>
      <c r="AC141" s="10" t="s">
        <v>162</v>
      </c>
      <c r="AD141" s="21" t="s">
        <v>162</v>
      </c>
      <c r="AE141" s="21" t="s">
        <v>162</v>
      </c>
      <c r="AF141" s="10" t="s">
        <v>162</v>
      </c>
      <c r="AG141" s="10" t="s">
        <v>162</v>
      </c>
      <c r="AH141" s="21" t="s">
        <v>162</v>
      </c>
      <c r="AI141" s="21" t="s">
        <v>162</v>
      </c>
      <c r="AJ141" s="21" t="s">
        <v>162</v>
      </c>
      <c r="AK141" s="21" t="s">
        <v>162</v>
      </c>
      <c r="AL141" s="21" t="s">
        <v>162</v>
      </c>
      <c r="AM141" s="21" t="s">
        <v>162</v>
      </c>
      <c r="AN141" s="21" t="s">
        <v>162</v>
      </c>
      <c r="AO141" s="10" t="s">
        <v>162</v>
      </c>
      <c r="AP141" s="21" t="s">
        <v>162</v>
      </c>
      <c r="AQ141" s="10" t="s">
        <v>898</v>
      </c>
      <c r="AR141" s="10" t="s">
        <v>909</v>
      </c>
      <c r="AS141" s="10" t="s">
        <v>910</v>
      </c>
      <c r="AT141" s="10" t="s">
        <v>911</v>
      </c>
      <c r="AU141" s="10" t="s">
        <v>912</v>
      </c>
      <c r="AV141" s="10" t="s">
        <v>162</v>
      </c>
      <c r="AW141" s="10"/>
    </row>
    <row r="142" spans="1:49">
      <c r="A142" s="10" t="s">
        <v>913</v>
      </c>
      <c r="B142" s="21" t="s">
        <v>162</v>
      </c>
      <c r="C142" s="10" t="s">
        <v>163</v>
      </c>
      <c r="D142" s="74">
        <v>45091</v>
      </c>
      <c r="E142" s="80" t="s">
        <v>914</v>
      </c>
      <c r="F142" s="75" t="str">
        <f>VLOOKUP($E142,'Item Classification'!B:C,2,0)</f>
        <v>Anti-aircraft surface-to-air missile (SAM) system (medium-range)</v>
      </c>
      <c r="G142" s="10" t="str">
        <f>VLOOKUP($E142,'Item Classification'!B:D,3,0)</f>
        <v>Air defence system</v>
      </c>
      <c r="H142" s="76">
        <f>VLOOKUP($E142,'Item Classification'!B:E,4,0)</f>
        <v>5</v>
      </c>
      <c r="I142" s="81">
        <v>6</v>
      </c>
      <c r="J142" s="182">
        <f t="shared" si="0"/>
        <v>158333333.33333334</v>
      </c>
      <c r="K142" s="81">
        <v>2024</v>
      </c>
      <c r="L142" s="81" t="s">
        <v>162</v>
      </c>
      <c r="M142" s="183">
        <v>950000000</v>
      </c>
      <c r="N142" s="10" t="s">
        <v>665</v>
      </c>
      <c r="O142" s="10" t="s">
        <v>162</v>
      </c>
      <c r="P142" s="10" t="s">
        <v>163</v>
      </c>
      <c r="Q142" s="77">
        <v>42</v>
      </c>
      <c r="R142" s="77">
        <v>0</v>
      </c>
      <c r="S142" s="77">
        <v>0</v>
      </c>
      <c r="T142" s="77">
        <v>0</v>
      </c>
      <c r="U142" s="77">
        <v>1</v>
      </c>
      <c r="V142" s="77">
        <v>0</v>
      </c>
      <c r="W142" s="77">
        <v>0</v>
      </c>
      <c r="X142" s="77">
        <v>0</v>
      </c>
      <c r="Y142" s="10" t="s">
        <v>213</v>
      </c>
      <c r="Z142" s="10" t="s">
        <v>163</v>
      </c>
      <c r="AA142" s="10" t="s">
        <v>162</v>
      </c>
      <c r="AB142" s="10" t="s">
        <v>179</v>
      </c>
      <c r="AC142" s="10" t="s">
        <v>188</v>
      </c>
      <c r="AD142" s="21" t="s">
        <v>162</v>
      </c>
      <c r="AE142" s="21" t="s">
        <v>162</v>
      </c>
      <c r="AF142" s="10" t="s">
        <v>163</v>
      </c>
      <c r="AG142" s="10" t="s">
        <v>162</v>
      </c>
      <c r="AH142" s="21" t="s">
        <v>162</v>
      </c>
      <c r="AI142" s="21" t="s">
        <v>162</v>
      </c>
      <c r="AJ142" s="21" t="s">
        <v>162</v>
      </c>
      <c r="AK142" s="21" t="s">
        <v>162</v>
      </c>
      <c r="AL142" s="21" t="s">
        <v>162</v>
      </c>
      <c r="AM142" s="21" t="s">
        <v>162</v>
      </c>
      <c r="AN142" s="21" t="s">
        <v>162</v>
      </c>
      <c r="AO142" s="10" t="s">
        <v>162</v>
      </c>
      <c r="AP142" s="21" t="s">
        <v>162</v>
      </c>
      <c r="AQ142" s="10" t="s">
        <v>915</v>
      </c>
      <c r="AR142" s="10" t="s">
        <v>916</v>
      </c>
      <c r="AS142" s="10" t="s">
        <v>917</v>
      </c>
      <c r="AT142" s="10" t="s">
        <v>918</v>
      </c>
      <c r="AU142" s="10" t="s">
        <v>919</v>
      </c>
      <c r="AV142" s="10" t="s">
        <v>162</v>
      </c>
      <c r="AW142" s="10"/>
    </row>
    <row r="143" spans="1:49">
      <c r="A143" s="10" t="s">
        <v>920</v>
      </c>
      <c r="B143" s="21" t="s">
        <v>162</v>
      </c>
      <c r="C143" s="10" t="s">
        <v>163</v>
      </c>
      <c r="D143" s="74">
        <v>45091</v>
      </c>
      <c r="E143" s="80" t="s">
        <v>162</v>
      </c>
      <c r="F143" s="75" t="s">
        <v>295</v>
      </c>
      <c r="G143" s="10" t="s">
        <v>296</v>
      </c>
      <c r="H143" s="76">
        <v>16</v>
      </c>
      <c r="I143" s="81" t="s">
        <v>162</v>
      </c>
      <c r="J143" s="81" t="s">
        <v>162</v>
      </c>
      <c r="K143" s="81" t="s">
        <v>162</v>
      </c>
      <c r="L143" s="81" t="s">
        <v>162</v>
      </c>
      <c r="M143" s="183">
        <v>317200000</v>
      </c>
      <c r="N143" s="10" t="s">
        <v>165</v>
      </c>
      <c r="O143" s="10" t="s">
        <v>162</v>
      </c>
      <c r="P143" s="10" t="s">
        <v>163</v>
      </c>
      <c r="Q143" s="77">
        <v>42</v>
      </c>
      <c r="R143" s="77">
        <v>1</v>
      </c>
      <c r="S143" s="77">
        <v>0</v>
      </c>
      <c r="T143" s="77">
        <v>0</v>
      </c>
      <c r="U143" s="77">
        <v>1</v>
      </c>
      <c r="V143" s="77">
        <v>0</v>
      </c>
      <c r="W143" s="77">
        <v>0</v>
      </c>
      <c r="X143" s="77">
        <v>0</v>
      </c>
      <c r="Y143" s="10" t="s">
        <v>921</v>
      </c>
      <c r="Z143" s="21" t="s">
        <v>163</v>
      </c>
      <c r="AA143" s="21" t="s">
        <v>162</v>
      </c>
      <c r="AB143" s="10" t="s">
        <v>162</v>
      </c>
      <c r="AC143" s="10" t="s">
        <v>162</v>
      </c>
      <c r="AD143" s="21" t="s">
        <v>162</v>
      </c>
      <c r="AE143" s="21" t="s">
        <v>162</v>
      </c>
      <c r="AF143" s="10" t="s">
        <v>162</v>
      </c>
      <c r="AG143" s="10" t="s">
        <v>162</v>
      </c>
      <c r="AH143" s="21" t="s">
        <v>162</v>
      </c>
      <c r="AI143" s="21" t="s">
        <v>162</v>
      </c>
      <c r="AJ143" s="21" t="s">
        <v>162</v>
      </c>
      <c r="AK143" s="21" t="s">
        <v>162</v>
      </c>
      <c r="AL143" s="21" t="s">
        <v>162</v>
      </c>
      <c r="AM143" s="21" t="s">
        <v>162</v>
      </c>
      <c r="AN143" s="21" t="s">
        <v>162</v>
      </c>
      <c r="AO143" s="10" t="s">
        <v>162</v>
      </c>
      <c r="AP143" s="21" t="s">
        <v>162</v>
      </c>
      <c r="AQ143" s="10" t="s">
        <v>915</v>
      </c>
      <c r="AR143" s="10" t="s">
        <v>922</v>
      </c>
      <c r="AS143" s="10" t="s">
        <v>923</v>
      </c>
      <c r="AT143" s="10" t="s">
        <v>924</v>
      </c>
      <c r="AU143" s="10" t="s">
        <v>162</v>
      </c>
      <c r="AV143" s="10" t="s">
        <v>162</v>
      </c>
      <c r="AW143" s="10"/>
    </row>
    <row r="144" spans="1:49">
      <c r="A144" s="10" t="s">
        <v>925</v>
      </c>
      <c r="B144" s="21" t="s">
        <v>162</v>
      </c>
      <c r="C144" s="10" t="s">
        <v>163</v>
      </c>
      <c r="D144" s="74">
        <v>45091</v>
      </c>
      <c r="E144" s="10" t="s">
        <v>926</v>
      </c>
      <c r="F144" s="75" t="str">
        <f>VLOOKUP($E144,'Item Classification'!B:C,2,0)</f>
        <v>Armoured Utility Vehicle (AUV)</v>
      </c>
      <c r="G144" s="10" t="str">
        <f>VLOOKUP($E144,'Item Classification'!B:D,3,0)</f>
        <v>Armoured vehicle</v>
      </c>
      <c r="H144" s="76">
        <f>VLOOKUP($E144,'Item Classification'!B:E,4,0)</f>
        <v>2</v>
      </c>
      <c r="I144" s="81">
        <v>164</v>
      </c>
      <c r="J144" s="81" t="s">
        <v>162</v>
      </c>
      <c r="K144" s="81" t="s">
        <v>162</v>
      </c>
      <c r="L144" s="81">
        <v>2023</v>
      </c>
      <c r="M144" s="81" t="s">
        <v>162</v>
      </c>
      <c r="N144" s="10" t="s">
        <v>165</v>
      </c>
      <c r="O144" s="10" t="s">
        <v>162</v>
      </c>
      <c r="P144" s="10" t="s">
        <v>163</v>
      </c>
      <c r="Q144" s="77">
        <v>42</v>
      </c>
      <c r="R144" s="77">
        <v>1</v>
      </c>
      <c r="S144" s="77">
        <v>0</v>
      </c>
      <c r="T144" s="77">
        <v>0</v>
      </c>
      <c r="U144" s="77">
        <v>1</v>
      </c>
      <c r="V144" s="77">
        <v>0</v>
      </c>
      <c r="W144" s="77">
        <v>0</v>
      </c>
      <c r="X144" s="77">
        <v>0</v>
      </c>
      <c r="Y144" s="10" t="s">
        <v>921</v>
      </c>
      <c r="Z144" s="21" t="s">
        <v>163</v>
      </c>
      <c r="AA144" s="21" t="s">
        <v>162</v>
      </c>
      <c r="AB144" s="10" t="s">
        <v>162</v>
      </c>
      <c r="AC144" s="10" t="s">
        <v>162</v>
      </c>
      <c r="AD144" s="21" t="s">
        <v>162</v>
      </c>
      <c r="AE144" s="21" t="s">
        <v>162</v>
      </c>
      <c r="AF144" s="10" t="s">
        <v>162</v>
      </c>
      <c r="AG144" s="10" t="s">
        <v>162</v>
      </c>
      <c r="AH144" s="21" t="s">
        <v>162</v>
      </c>
      <c r="AI144" s="21" t="s">
        <v>162</v>
      </c>
      <c r="AJ144" s="21" t="s">
        <v>162</v>
      </c>
      <c r="AK144" s="21" t="s">
        <v>162</v>
      </c>
      <c r="AL144" s="21" t="s">
        <v>162</v>
      </c>
      <c r="AM144" s="21" t="s">
        <v>162</v>
      </c>
      <c r="AN144" s="21" t="s">
        <v>162</v>
      </c>
      <c r="AO144" s="10" t="s">
        <v>162</v>
      </c>
      <c r="AP144" s="21" t="s">
        <v>162</v>
      </c>
      <c r="AQ144" s="10" t="s">
        <v>915</v>
      </c>
      <c r="AR144" s="10" t="s">
        <v>922</v>
      </c>
      <c r="AS144" s="10" t="s">
        <v>923</v>
      </c>
      <c r="AT144" s="10" t="s">
        <v>924</v>
      </c>
      <c r="AU144" s="10" t="s">
        <v>162</v>
      </c>
      <c r="AV144" s="10" t="s">
        <v>162</v>
      </c>
      <c r="AW144" s="10"/>
    </row>
    <row r="145" spans="1:49">
      <c r="A145" s="10" t="s">
        <v>927</v>
      </c>
      <c r="B145" s="21" t="s">
        <v>162</v>
      </c>
      <c r="C145" s="10" t="s">
        <v>163</v>
      </c>
      <c r="D145" s="74">
        <v>45091</v>
      </c>
      <c r="E145" s="10" t="s">
        <v>928</v>
      </c>
      <c r="F145" s="75" t="str">
        <f>VLOOKUP($E145,'Item Classification'!B:C,2,0)</f>
        <v>Non-combat military vehicle</v>
      </c>
      <c r="G145" s="10" t="str">
        <f>VLOOKUP($E145,'Item Classification'!B:D,3,0)</f>
        <v>Other</v>
      </c>
      <c r="H145" s="76">
        <f>VLOOKUP($E145,'Item Classification'!B:E,4,0)</f>
        <v>16</v>
      </c>
      <c r="I145" s="81">
        <v>203</v>
      </c>
      <c r="J145" s="81" t="s">
        <v>162</v>
      </c>
      <c r="K145" s="81" t="s">
        <v>162</v>
      </c>
      <c r="L145" s="81">
        <v>2023</v>
      </c>
      <c r="M145" s="81" t="s">
        <v>162</v>
      </c>
      <c r="N145" s="10" t="s">
        <v>165</v>
      </c>
      <c r="O145" s="10" t="s">
        <v>162</v>
      </c>
      <c r="P145" s="10" t="s">
        <v>163</v>
      </c>
      <c r="Q145" s="77">
        <v>42</v>
      </c>
      <c r="R145" s="77">
        <v>1</v>
      </c>
      <c r="S145" s="77">
        <v>0</v>
      </c>
      <c r="T145" s="77">
        <v>0</v>
      </c>
      <c r="U145" s="77">
        <v>1</v>
      </c>
      <c r="V145" s="77">
        <v>0</v>
      </c>
      <c r="W145" s="77">
        <v>0</v>
      </c>
      <c r="X145" s="77">
        <v>0</v>
      </c>
      <c r="Y145" s="10" t="s">
        <v>921</v>
      </c>
      <c r="Z145" s="21" t="s">
        <v>163</v>
      </c>
      <c r="AA145" s="21" t="s">
        <v>162</v>
      </c>
      <c r="AB145" s="10" t="s">
        <v>162</v>
      </c>
      <c r="AC145" s="10" t="s">
        <v>162</v>
      </c>
      <c r="AD145" s="21" t="s">
        <v>162</v>
      </c>
      <c r="AE145" s="21" t="s">
        <v>162</v>
      </c>
      <c r="AF145" s="10" t="s">
        <v>162</v>
      </c>
      <c r="AG145" s="10" t="s">
        <v>162</v>
      </c>
      <c r="AH145" s="21" t="s">
        <v>162</v>
      </c>
      <c r="AI145" s="21" t="s">
        <v>162</v>
      </c>
      <c r="AJ145" s="21" t="s">
        <v>162</v>
      </c>
      <c r="AK145" s="21" t="s">
        <v>162</v>
      </c>
      <c r="AL145" s="21" t="s">
        <v>162</v>
      </c>
      <c r="AM145" s="21" t="s">
        <v>162</v>
      </c>
      <c r="AN145" s="21" t="s">
        <v>162</v>
      </c>
      <c r="AO145" s="10" t="s">
        <v>162</v>
      </c>
      <c r="AP145" s="21" t="s">
        <v>162</v>
      </c>
      <c r="AQ145" s="10" t="s">
        <v>915</v>
      </c>
      <c r="AR145" s="10" t="s">
        <v>922</v>
      </c>
      <c r="AS145" s="10" t="s">
        <v>923</v>
      </c>
      <c r="AT145" s="10" t="s">
        <v>924</v>
      </c>
      <c r="AU145" s="10" t="s">
        <v>162</v>
      </c>
      <c r="AV145" s="10" t="s">
        <v>162</v>
      </c>
      <c r="AW145" s="10"/>
    </row>
    <row r="146" spans="1:49">
      <c r="A146" s="10" t="s">
        <v>929</v>
      </c>
      <c r="B146" s="21" t="s">
        <v>162</v>
      </c>
      <c r="C146" s="10" t="s">
        <v>163</v>
      </c>
      <c r="D146" s="74">
        <v>45091</v>
      </c>
      <c r="E146" s="10" t="s">
        <v>930</v>
      </c>
      <c r="F146" s="75" t="str">
        <f>VLOOKUP($E146,'Item Classification'!B:C,2,0)</f>
        <v>Non-combat military vehicle</v>
      </c>
      <c r="G146" s="10" t="str">
        <f>VLOOKUP($E146,'Item Classification'!B:D,3,0)</f>
        <v>Other</v>
      </c>
      <c r="H146" s="76">
        <f>VLOOKUP($E146,'Item Classification'!B:E,4,0)</f>
        <v>16</v>
      </c>
      <c r="I146" s="81">
        <v>1634</v>
      </c>
      <c r="J146" s="81" t="s">
        <v>162</v>
      </c>
      <c r="K146" s="81">
        <v>2023</v>
      </c>
      <c r="L146" s="81">
        <v>2025</v>
      </c>
      <c r="M146" s="81" t="s">
        <v>162</v>
      </c>
      <c r="N146" s="10" t="s">
        <v>165</v>
      </c>
      <c r="O146" s="10" t="s">
        <v>162</v>
      </c>
      <c r="P146" s="10" t="s">
        <v>163</v>
      </c>
      <c r="Q146" s="77">
        <v>42</v>
      </c>
      <c r="R146" s="77">
        <v>1</v>
      </c>
      <c r="S146" s="77">
        <v>0</v>
      </c>
      <c r="T146" s="77">
        <v>0</v>
      </c>
      <c r="U146" s="77">
        <v>1</v>
      </c>
      <c r="V146" s="77">
        <v>0</v>
      </c>
      <c r="W146" s="77">
        <v>0</v>
      </c>
      <c r="X146" s="77">
        <v>0</v>
      </c>
      <c r="Y146" s="10" t="s">
        <v>921</v>
      </c>
      <c r="Z146" s="21" t="s">
        <v>163</v>
      </c>
      <c r="AA146" s="21" t="s">
        <v>162</v>
      </c>
      <c r="AB146" s="10" t="s">
        <v>162</v>
      </c>
      <c r="AC146" s="10" t="s">
        <v>162</v>
      </c>
      <c r="AD146" s="21" t="s">
        <v>162</v>
      </c>
      <c r="AE146" s="21" t="s">
        <v>162</v>
      </c>
      <c r="AF146" s="10" t="s">
        <v>162</v>
      </c>
      <c r="AG146" s="10" t="s">
        <v>162</v>
      </c>
      <c r="AH146" s="21" t="s">
        <v>162</v>
      </c>
      <c r="AI146" s="21" t="s">
        <v>162</v>
      </c>
      <c r="AJ146" s="21" t="s">
        <v>162</v>
      </c>
      <c r="AK146" s="21" t="s">
        <v>162</v>
      </c>
      <c r="AL146" s="21" t="s">
        <v>162</v>
      </c>
      <c r="AM146" s="21" t="s">
        <v>162</v>
      </c>
      <c r="AN146" s="21" t="s">
        <v>162</v>
      </c>
      <c r="AO146" s="10" t="s">
        <v>162</v>
      </c>
      <c r="AP146" s="21" t="s">
        <v>162</v>
      </c>
      <c r="AQ146" s="10" t="s">
        <v>915</v>
      </c>
      <c r="AR146" s="10" t="s">
        <v>922</v>
      </c>
      <c r="AS146" s="10" t="s">
        <v>923</v>
      </c>
      <c r="AT146" s="10" t="s">
        <v>924</v>
      </c>
      <c r="AU146" s="10" t="s">
        <v>162</v>
      </c>
      <c r="AV146" s="10" t="s">
        <v>162</v>
      </c>
      <c r="AW146" s="10"/>
    </row>
    <row r="147" spans="1:49">
      <c r="A147" s="10" t="s">
        <v>931</v>
      </c>
      <c r="B147" s="21" t="s">
        <v>194</v>
      </c>
      <c r="C147" s="10" t="s">
        <v>163</v>
      </c>
      <c r="D147" s="74">
        <v>45098</v>
      </c>
      <c r="E147" s="10" t="s">
        <v>932</v>
      </c>
      <c r="F147" s="75" t="str">
        <f>VLOOKUP($E147,'Item Classification'!B:C,2,0)</f>
        <v>Communication and digitalisation</v>
      </c>
      <c r="G147" s="10" t="str">
        <f>VLOOKUP($E147,'Item Classification'!B:D,3,0)</f>
        <v>Modernisation</v>
      </c>
      <c r="H147" s="76">
        <f>VLOOKUP($E147,'Item Classification'!B:E,4,0)</f>
        <v>13</v>
      </c>
      <c r="I147" s="81" t="s">
        <v>162</v>
      </c>
      <c r="J147" s="81" t="s">
        <v>162</v>
      </c>
      <c r="K147" s="81" t="s">
        <v>162</v>
      </c>
      <c r="L147" s="81" t="s">
        <v>162</v>
      </c>
      <c r="M147" s="183">
        <v>586000000</v>
      </c>
      <c r="N147" s="10" t="s">
        <v>165</v>
      </c>
      <c r="O147" s="10" t="s">
        <v>162</v>
      </c>
      <c r="P147" s="10" t="s">
        <v>163</v>
      </c>
      <c r="Q147" s="77">
        <v>42</v>
      </c>
      <c r="R147" s="77">
        <v>0</v>
      </c>
      <c r="S147" s="77">
        <v>0</v>
      </c>
      <c r="T147" s="77">
        <v>0</v>
      </c>
      <c r="U147" s="77">
        <v>1</v>
      </c>
      <c r="V147" s="77">
        <v>0</v>
      </c>
      <c r="W147" s="77">
        <v>0</v>
      </c>
      <c r="X147" s="77">
        <v>0</v>
      </c>
      <c r="Y147" s="10" t="s">
        <v>194</v>
      </c>
      <c r="Z147" s="10" t="s">
        <v>163</v>
      </c>
      <c r="AA147" s="10" t="s">
        <v>162</v>
      </c>
      <c r="AB147" s="10" t="s">
        <v>162</v>
      </c>
      <c r="AC147" s="21" t="s">
        <v>162</v>
      </c>
      <c r="AD147" s="21" t="s">
        <v>162</v>
      </c>
      <c r="AE147" s="21" t="s">
        <v>162</v>
      </c>
      <c r="AF147" s="10" t="s">
        <v>162</v>
      </c>
      <c r="AG147" s="10" t="s">
        <v>162</v>
      </c>
      <c r="AH147" s="21" t="s">
        <v>162</v>
      </c>
      <c r="AI147" s="21" t="s">
        <v>162</v>
      </c>
      <c r="AJ147" s="21" t="s">
        <v>162</v>
      </c>
      <c r="AK147" s="21" t="s">
        <v>162</v>
      </c>
      <c r="AL147" s="21" t="s">
        <v>162</v>
      </c>
      <c r="AM147" s="21" t="s">
        <v>162</v>
      </c>
      <c r="AN147" s="21" t="s">
        <v>162</v>
      </c>
      <c r="AO147" s="10" t="s">
        <v>162</v>
      </c>
      <c r="AP147" s="21" t="s">
        <v>162</v>
      </c>
      <c r="AQ147" s="10" t="s">
        <v>933</v>
      </c>
      <c r="AR147" s="10" t="s">
        <v>744</v>
      </c>
      <c r="AS147" s="10" t="s">
        <v>162</v>
      </c>
      <c r="AT147" s="10" t="s">
        <v>934</v>
      </c>
      <c r="AU147" s="10" t="s">
        <v>935</v>
      </c>
      <c r="AV147" s="10" t="s">
        <v>162</v>
      </c>
      <c r="AW147" s="10"/>
    </row>
    <row r="148" spans="1:49">
      <c r="A148" s="10" t="s">
        <v>936</v>
      </c>
      <c r="B148" s="21" t="s">
        <v>162</v>
      </c>
      <c r="C148" s="10" t="s">
        <v>163</v>
      </c>
      <c r="D148" s="74">
        <v>45112</v>
      </c>
      <c r="E148" s="10" t="s">
        <v>937</v>
      </c>
      <c r="F148" s="75" t="str">
        <f>VLOOKUP($E148,'Item Classification'!B:C,2,0)</f>
        <v>Heavy transport helicopter</v>
      </c>
      <c r="G148" s="10" t="str">
        <f>VLOOKUP($E148,'Item Classification'!B:D,3,0)</f>
        <v>Helicopter</v>
      </c>
      <c r="H148" s="76">
        <f>VLOOKUP($E148,'Item Classification'!B:E,4,0)</f>
        <v>10</v>
      </c>
      <c r="I148" s="81">
        <v>60</v>
      </c>
      <c r="J148" s="182">
        <f>M148/I148</f>
        <v>116333333.33333333</v>
      </c>
      <c r="K148" s="81">
        <v>2027</v>
      </c>
      <c r="L148" s="81">
        <v>2033</v>
      </c>
      <c r="M148" s="183">
        <v>6980000000</v>
      </c>
      <c r="N148" s="10" t="s">
        <v>665</v>
      </c>
      <c r="O148" s="10" t="s">
        <v>162</v>
      </c>
      <c r="P148" s="10" t="s">
        <v>163</v>
      </c>
      <c r="Q148" s="77">
        <v>43</v>
      </c>
      <c r="R148" s="77">
        <v>0</v>
      </c>
      <c r="S148" s="77">
        <v>0</v>
      </c>
      <c r="T148" s="77">
        <v>1</v>
      </c>
      <c r="U148" s="77">
        <v>0</v>
      </c>
      <c r="V148" s="77">
        <v>0</v>
      </c>
      <c r="W148" s="77">
        <v>0</v>
      </c>
      <c r="X148" s="77">
        <v>0</v>
      </c>
      <c r="Y148" s="10" t="s">
        <v>214</v>
      </c>
      <c r="Z148" s="10" t="s">
        <v>218</v>
      </c>
      <c r="AA148" s="21" t="s">
        <v>162</v>
      </c>
      <c r="AB148" s="10" t="s">
        <v>162</v>
      </c>
      <c r="AC148" s="21" t="s">
        <v>162</v>
      </c>
      <c r="AD148" s="21" t="s">
        <v>162</v>
      </c>
      <c r="AE148" s="21" t="s">
        <v>162</v>
      </c>
      <c r="AF148" s="10" t="s">
        <v>162</v>
      </c>
      <c r="AG148" s="10" t="s">
        <v>162</v>
      </c>
      <c r="AH148" s="21" t="s">
        <v>162</v>
      </c>
      <c r="AI148" s="21" t="s">
        <v>162</v>
      </c>
      <c r="AJ148" s="21" t="s">
        <v>162</v>
      </c>
      <c r="AK148" s="21" t="s">
        <v>162</v>
      </c>
      <c r="AL148" s="21" t="s">
        <v>162</v>
      </c>
      <c r="AM148" s="21" t="s">
        <v>162</v>
      </c>
      <c r="AN148" s="21" t="s">
        <v>162</v>
      </c>
      <c r="AO148" s="10" t="s">
        <v>162</v>
      </c>
      <c r="AP148" s="21" t="s">
        <v>162</v>
      </c>
      <c r="AQ148" s="10" t="s">
        <v>938</v>
      </c>
      <c r="AR148" s="10" t="s">
        <v>900</v>
      </c>
      <c r="AS148" s="10" t="s">
        <v>939</v>
      </c>
      <c r="AT148" s="10" t="s">
        <v>940</v>
      </c>
      <c r="AU148" s="10" t="s">
        <v>162</v>
      </c>
      <c r="AV148" s="10" t="s">
        <v>162</v>
      </c>
      <c r="AW148" s="10"/>
    </row>
    <row r="149" spans="1:49">
      <c r="A149" s="10" t="s">
        <v>941</v>
      </c>
      <c r="B149" s="21" t="s">
        <v>449</v>
      </c>
      <c r="C149" s="10" t="s">
        <v>163</v>
      </c>
      <c r="D149" s="74">
        <v>45112</v>
      </c>
      <c r="E149" s="10" t="s">
        <v>942</v>
      </c>
      <c r="F149" s="75" t="str">
        <f>VLOOKUP($E149,'Item Classification'!B:C,2,0)</f>
        <v>Reconnaissance ship - contract adjustment</v>
      </c>
      <c r="G149" s="10" t="str">
        <f>VLOOKUP($E149,'Item Classification'!B:D,3,0)</f>
        <v>Naval</v>
      </c>
      <c r="H149" s="76">
        <f>VLOOKUP($E149,'Item Classification'!B:E,4,0)</f>
        <v>12</v>
      </c>
      <c r="I149" s="81">
        <v>3</v>
      </c>
      <c r="J149" s="182">
        <f>M149/I149</f>
        <v>386666666.66666669</v>
      </c>
      <c r="K149" s="81">
        <v>2029</v>
      </c>
      <c r="L149" s="81">
        <v>2031</v>
      </c>
      <c r="M149" s="182">
        <v>1160000000</v>
      </c>
      <c r="N149" s="10" t="s">
        <v>165</v>
      </c>
      <c r="O149" s="10" t="s">
        <v>162</v>
      </c>
      <c r="P149" s="10" t="s">
        <v>163</v>
      </c>
      <c r="Q149" s="77">
        <v>43</v>
      </c>
      <c r="R149" s="77">
        <v>0</v>
      </c>
      <c r="S149" s="77">
        <v>0</v>
      </c>
      <c r="T149" s="77">
        <v>0</v>
      </c>
      <c r="U149" s="77">
        <v>1</v>
      </c>
      <c r="V149" s="77">
        <v>0</v>
      </c>
      <c r="W149" s="77">
        <v>0</v>
      </c>
      <c r="X149" s="77">
        <v>0</v>
      </c>
      <c r="Y149" s="10" t="s">
        <v>943</v>
      </c>
      <c r="Z149" s="21" t="s">
        <v>163</v>
      </c>
      <c r="AA149" s="21" t="s">
        <v>163</v>
      </c>
      <c r="AB149" s="10" t="s">
        <v>162</v>
      </c>
      <c r="AC149" s="21" t="s">
        <v>162</v>
      </c>
      <c r="AD149" s="21" t="s">
        <v>162</v>
      </c>
      <c r="AE149" s="21" t="s">
        <v>162</v>
      </c>
      <c r="AF149" s="10" t="s">
        <v>162</v>
      </c>
      <c r="AG149" s="10" t="s">
        <v>162</v>
      </c>
      <c r="AH149" s="21" t="s">
        <v>162</v>
      </c>
      <c r="AI149" s="21" t="s">
        <v>162</v>
      </c>
      <c r="AJ149" s="21" t="s">
        <v>162</v>
      </c>
      <c r="AK149" s="21" t="s">
        <v>162</v>
      </c>
      <c r="AL149" s="21" t="s">
        <v>162</v>
      </c>
      <c r="AM149" s="21" t="s">
        <v>162</v>
      </c>
      <c r="AN149" s="21" t="s">
        <v>162</v>
      </c>
      <c r="AO149" s="10" t="s">
        <v>162</v>
      </c>
      <c r="AP149" s="21" t="s">
        <v>162</v>
      </c>
      <c r="AQ149" s="10" t="s">
        <v>938</v>
      </c>
      <c r="AR149" s="10" t="s">
        <v>944</v>
      </c>
      <c r="AS149" s="10" t="s">
        <v>453</v>
      </c>
      <c r="AT149" s="10" t="s">
        <v>945</v>
      </c>
      <c r="AU149" s="10" t="s">
        <v>455</v>
      </c>
      <c r="AV149" s="10" t="s">
        <v>162</v>
      </c>
      <c r="AW149" s="10"/>
    </row>
    <row r="150" spans="1:49">
      <c r="A150" s="10" t="s">
        <v>946</v>
      </c>
      <c r="B150" s="21" t="s">
        <v>162</v>
      </c>
      <c r="C150" s="10" t="s">
        <v>163</v>
      </c>
      <c r="D150" s="74">
        <v>45112</v>
      </c>
      <c r="E150" s="10" t="s">
        <v>947</v>
      </c>
      <c r="F150" s="75" t="str">
        <f>VLOOKUP($E150,'Item Classification'!B:C,2,0)</f>
        <v>Light air assault vehicle</v>
      </c>
      <c r="G150" s="10" t="str">
        <f>VLOOKUP($E150,'Item Classification'!B:D,3,0)</f>
        <v>Armoured vehicle</v>
      </c>
      <c r="H150" s="76">
        <f>VLOOKUP($E150,'Item Classification'!B:E,4,0)</f>
        <v>2</v>
      </c>
      <c r="I150" s="81">
        <v>1508</v>
      </c>
      <c r="J150" s="182">
        <f>M150/I150</f>
        <v>576923.07692307688</v>
      </c>
      <c r="K150" s="81">
        <v>2025</v>
      </c>
      <c r="L150" s="81" t="s">
        <v>162</v>
      </c>
      <c r="M150" s="183">
        <v>870000000</v>
      </c>
      <c r="N150" s="10" t="s">
        <v>665</v>
      </c>
      <c r="O150" s="10" t="s">
        <v>162</v>
      </c>
      <c r="P150" s="10" t="s">
        <v>163</v>
      </c>
      <c r="Q150" s="77">
        <v>43</v>
      </c>
      <c r="R150" s="77">
        <v>1</v>
      </c>
      <c r="S150" s="77">
        <v>0</v>
      </c>
      <c r="T150" s="77">
        <v>0</v>
      </c>
      <c r="U150" s="77">
        <v>1</v>
      </c>
      <c r="V150" s="77">
        <v>1</v>
      </c>
      <c r="W150" s="77">
        <v>0</v>
      </c>
      <c r="X150" s="77">
        <v>0</v>
      </c>
      <c r="Y150" s="10" t="s">
        <v>268</v>
      </c>
      <c r="Z150" s="10" t="s">
        <v>163</v>
      </c>
      <c r="AA150" s="10" t="s">
        <v>176</v>
      </c>
      <c r="AB150" s="10" t="s">
        <v>162</v>
      </c>
      <c r="AC150" s="21" t="s">
        <v>162</v>
      </c>
      <c r="AD150" s="21" t="s">
        <v>162</v>
      </c>
      <c r="AE150" s="21" t="s">
        <v>162</v>
      </c>
      <c r="AF150" s="10" t="s">
        <v>162</v>
      </c>
      <c r="AG150" s="10" t="s">
        <v>162</v>
      </c>
      <c r="AH150" s="21" t="s">
        <v>162</v>
      </c>
      <c r="AI150" s="21" t="s">
        <v>162</v>
      </c>
      <c r="AJ150" s="21" t="s">
        <v>162</v>
      </c>
      <c r="AK150" s="21" t="s">
        <v>162</v>
      </c>
      <c r="AL150" s="21" t="s">
        <v>162</v>
      </c>
      <c r="AM150" s="21" t="s">
        <v>162</v>
      </c>
      <c r="AN150" s="21" t="s">
        <v>162</v>
      </c>
      <c r="AO150" s="10" t="s">
        <v>162</v>
      </c>
      <c r="AP150" s="21" t="s">
        <v>162</v>
      </c>
      <c r="AQ150" s="10" t="s">
        <v>938</v>
      </c>
      <c r="AR150" s="10" t="s">
        <v>948</v>
      </c>
      <c r="AS150" s="10" t="s">
        <v>949</v>
      </c>
      <c r="AT150" s="10" t="s">
        <v>950</v>
      </c>
      <c r="AU150" s="10" t="s">
        <v>951</v>
      </c>
      <c r="AV150" s="10" t="s">
        <v>162</v>
      </c>
      <c r="AW150" s="10"/>
    </row>
    <row r="151" spans="1:49">
      <c r="A151" s="10" t="s">
        <v>952</v>
      </c>
      <c r="B151" s="10" t="s">
        <v>953</v>
      </c>
      <c r="C151" s="10" t="s">
        <v>163</v>
      </c>
      <c r="D151" s="74">
        <v>45112</v>
      </c>
      <c r="E151" s="10" t="s">
        <v>954</v>
      </c>
      <c r="F151" s="75" t="str">
        <f>VLOOKUP($E151,'Item Classification'!B:C,2,0)</f>
        <v>155mm howitzer ammunition</v>
      </c>
      <c r="G151" s="10" t="str">
        <f>VLOOKUP($E151,'Item Classification'!B:D,3,0)</f>
        <v>Ammunition</v>
      </c>
      <c r="H151" s="76">
        <f>VLOOKUP($E151,'Item Classification'!B:E,4,0)</f>
        <v>4</v>
      </c>
      <c r="I151" s="81">
        <v>4700</v>
      </c>
      <c r="J151" s="182">
        <f>M151/I151</f>
        <v>5808.510638297872</v>
      </c>
      <c r="K151" s="81" t="s">
        <v>162</v>
      </c>
      <c r="L151" s="81">
        <v>2025</v>
      </c>
      <c r="M151" s="183">
        <v>27300000</v>
      </c>
      <c r="N151" s="10" t="s">
        <v>165</v>
      </c>
      <c r="O151" s="10" t="s">
        <v>162</v>
      </c>
      <c r="P151" s="10" t="s">
        <v>785</v>
      </c>
      <c r="Q151" s="77">
        <v>43</v>
      </c>
      <c r="R151" s="77">
        <v>1</v>
      </c>
      <c r="S151" s="77">
        <v>0</v>
      </c>
      <c r="T151" s="77">
        <v>0</v>
      </c>
      <c r="U151" s="77">
        <v>1</v>
      </c>
      <c r="V151" s="77">
        <v>1</v>
      </c>
      <c r="W151" s="77">
        <v>0</v>
      </c>
      <c r="X151" s="77">
        <v>1</v>
      </c>
      <c r="Y151" s="10" t="s">
        <v>213</v>
      </c>
      <c r="Z151" s="21" t="s">
        <v>163</v>
      </c>
      <c r="AA151" s="21" t="s">
        <v>162</v>
      </c>
      <c r="AB151" s="10" t="s">
        <v>955</v>
      </c>
      <c r="AC151" s="21" t="s">
        <v>162</v>
      </c>
      <c r="AD151" s="21" t="s">
        <v>162</v>
      </c>
      <c r="AE151" s="21" t="s">
        <v>162</v>
      </c>
      <c r="AF151" s="10" t="s">
        <v>465</v>
      </c>
      <c r="AG151" s="21" t="s">
        <v>162</v>
      </c>
      <c r="AH151" s="21" t="s">
        <v>162</v>
      </c>
      <c r="AI151" s="21" t="s">
        <v>162</v>
      </c>
      <c r="AJ151" s="21" t="s">
        <v>162</v>
      </c>
      <c r="AK151" s="21" t="s">
        <v>162</v>
      </c>
      <c r="AL151" s="21" t="s">
        <v>162</v>
      </c>
      <c r="AM151" s="21" t="s">
        <v>162</v>
      </c>
      <c r="AN151" s="21" t="s">
        <v>162</v>
      </c>
      <c r="AO151" s="10" t="s">
        <v>162</v>
      </c>
      <c r="AP151" s="21" t="s">
        <v>162</v>
      </c>
      <c r="AQ151" s="10" t="s">
        <v>956</v>
      </c>
      <c r="AR151" s="10" t="s">
        <v>957</v>
      </c>
      <c r="AS151" s="10" t="s">
        <v>958</v>
      </c>
      <c r="AT151" s="10" t="s">
        <v>959</v>
      </c>
      <c r="AU151" s="10" t="s">
        <v>960</v>
      </c>
      <c r="AV151" s="10" t="s">
        <v>961</v>
      </c>
      <c r="AW151" s="10" t="s">
        <v>162</v>
      </c>
    </row>
    <row r="152" spans="1:49">
      <c r="A152" s="10" t="s">
        <v>962</v>
      </c>
      <c r="B152" s="10" t="s">
        <v>963</v>
      </c>
      <c r="C152" s="10" t="s">
        <v>163</v>
      </c>
      <c r="D152" s="74">
        <v>45112</v>
      </c>
      <c r="E152" s="10" t="s">
        <v>162</v>
      </c>
      <c r="F152" s="75" t="s">
        <v>964</v>
      </c>
      <c r="G152" s="10" t="s">
        <v>965</v>
      </c>
      <c r="H152" s="76">
        <v>4</v>
      </c>
      <c r="I152" s="81" t="s">
        <v>162</v>
      </c>
      <c r="J152" s="81" t="s">
        <v>162</v>
      </c>
      <c r="K152" s="81" t="s">
        <v>162</v>
      </c>
      <c r="L152" s="81" t="s">
        <v>162</v>
      </c>
      <c r="M152" s="184">
        <v>128000000</v>
      </c>
      <c r="N152" s="10" t="s">
        <v>784</v>
      </c>
      <c r="O152" s="10" t="s">
        <v>162</v>
      </c>
      <c r="P152" s="10" t="s">
        <v>163</v>
      </c>
      <c r="Q152" s="77">
        <v>43</v>
      </c>
      <c r="R152" s="77">
        <v>1</v>
      </c>
      <c r="S152" s="77">
        <v>0</v>
      </c>
      <c r="T152" s="77">
        <v>0</v>
      </c>
      <c r="U152" s="77">
        <v>1</v>
      </c>
      <c r="V152" s="77">
        <v>0</v>
      </c>
      <c r="W152" s="77">
        <v>0</v>
      </c>
      <c r="X152" s="77">
        <v>0</v>
      </c>
      <c r="Y152" s="10" t="s">
        <v>268</v>
      </c>
      <c r="Z152" s="21" t="s">
        <v>163</v>
      </c>
      <c r="AA152" s="21" t="s">
        <v>162</v>
      </c>
      <c r="AB152" s="10" t="s">
        <v>162</v>
      </c>
      <c r="AC152" s="21" t="s">
        <v>162</v>
      </c>
      <c r="AD152" s="21" t="s">
        <v>162</v>
      </c>
      <c r="AE152" s="21" t="s">
        <v>162</v>
      </c>
      <c r="AF152" s="10" t="s">
        <v>162</v>
      </c>
      <c r="AG152" s="10" t="s">
        <v>162</v>
      </c>
      <c r="AH152" s="21" t="s">
        <v>162</v>
      </c>
      <c r="AI152" s="21" t="s">
        <v>162</v>
      </c>
      <c r="AJ152" s="21" t="s">
        <v>162</v>
      </c>
      <c r="AK152" s="21" t="s">
        <v>162</v>
      </c>
      <c r="AL152" s="21" t="s">
        <v>162</v>
      </c>
      <c r="AM152" s="21" t="s">
        <v>162</v>
      </c>
      <c r="AN152" s="21" t="s">
        <v>162</v>
      </c>
      <c r="AO152" s="10" t="s">
        <v>162</v>
      </c>
      <c r="AP152" s="21" t="s">
        <v>162</v>
      </c>
      <c r="AQ152" s="10" t="s">
        <v>956</v>
      </c>
      <c r="AR152" s="10" t="s">
        <v>966</v>
      </c>
      <c r="AS152" s="10" t="s">
        <v>967</v>
      </c>
      <c r="AT152" s="10" t="s">
        <v>968</v>
      </c>
      <c r="AU152" s="10" t="s">
        <v>969</v>
      </c>
      <c r="AV152" s="10" t="s">
        <v>162</v>
      </c>
      <c r="AW152" s="10"/>
    </row>
    <row r="153" spans="1:49">
      <c r="A153" s="10" t="s">
        <v>970</v>
      </c>
      <c r="B153" s="10" t="s">
        <v>963</v>
      </c>
      <c r="C153" s="10" t="s">
        <v>163</v>
      </c>
      <c r="D153" s="74">
        <v>45112</v>
      </c>
      <c r="E153" s="10" t="s">
        <v>971</v>
      </c>
      <c r="F153" s="75" t="str">
        <f>VLOOKUP($E153,'Item Classification'!B:C,2,0)</f>
        <v>155mm howitzer ammunition</v>
      </c>
      <c r="G153" s="10" t="str">
        <f>VLOOKUP($E153,'Item Classification'!B:D,3,0)</f>
        <v>Ammunition</v>
      </c>
      <c r="H153" s="76">
        <f>VLOOKUP($E153,'Item Classification'!B:E,4,0)</f>
        <v>4</v>
      </c>
      <c r="I153" s="81" t="s">
        <v>162</v>
      </c>
      <c r="J153" s="81" t="s">
        <v>162</v>
      </c>
      <c r="K153" s="81">
        <v>2023</v>
      </c>
      <c r="L153" s="81">
        <v>2025</v>
      </c>
      <c r="M153" s="81" t="s">
        <v>162</v>
      </c>
      <c r="N153" s="10" t="s">
        <v>784</v>
      </c>
      <c r="O153" s="10" t="s">
        <v>162</v>
      </c>
      <c r="P153" s="10" t="s">
        <v>163</v>
      </c>
      <c r="Q153" s="77">
        <v>43</v>
      </c>
      <c r="R153" s="77">
        <v>1</v>
      </c>
      <c r="S153" s="77">
        <v>0</v>
      </c>
      <c r="T153" s="77">
        <v>0</v>
      </c>
      <c r="U153" s="77">
        <v>1</v>
      </c>
      <c r="V153" s="77">
        <v>0</v>
      </c>
      <c r="W153" s="77">
        <v>0</v>
      </c>
      <c r="X153" s="77">
        <v>0</v>
      </c>
      <c r="Y153" s="10" t="s">
        <v>268</v>
      </c>
      <c r="Z153" s="21" t="s">
        <v>163</v>
      </c>
      <c r="AA153" s="21" t="s">
        <v>162</v>
      </c>
      <c r="AB153" s="10" t="s">
        <v>162</v>
      </c>
      <c r="AC153" s="21" t="s">
        <v>162</v>
      </c>
      <c r="AD153" s="21" t="s">
        <v>162</v>
      </c>
      <c r="AE153" s="21" t="s">
        <v>162</v>
      </c>
      <c r="AF153" s="10" t="s">
        <v>162</v>
      </c>
      <c r="AG153" s="10" t="s">
        <v>162</v>
      </c>
      <c r="AH153" s="21" t="s">
        <v>162</v>
      </c>
      <c r="AI153" s="21" t="s">
        <v>162</v>
      </c>
      <c r="AJ153" s="21" t="s">
        <v>162</v>
      </c>
      <c r="AK153" s="21" t="s">
        <v>162</v>
      </c>
      <c r="AL153" s="21" t="s">
        <v>162</v>
      </c>
      <c r="AM153" s="21" t="s">
        <v>162</v>
      </c>
      <c r="AN153" s="21" t="s">
        <v>162</v>
      </c>
      <c r="AO153" s="10" t="s">
        <v>162</v>
      </c>
      <c r="AP153" s="21" t="s">
        <v>162</v>
      </c>
      <c r="AQ153" s="10" t="s">
        <v>956</v>
      </c>
      <c r="AR153" s="10" t="s">
        <v>966</v>
      </c>
      <c r="AS153" s="10" t="s">
        <v>967</v>
      </c>
      <c r="AT153" s="10" t="s">
        <v>968</v>
      </c>
      <c r="AU153" s="10" t="s">
        <v>969</v>
      </c>
      <c r="AV153" s="10" t="s">
        <v>162</v>
      </c>
      <c r="AW153" s="10"/>
    </row>
    <row r="154" spans="1:49">
      <c r="A154" s="10" t="s">
        <v>972</v>
      </c>
      <c r="B154" s="10" t="s">
        <v>963</v>
      </c>
      <c r="C154" s="10" t="s">
        <v>163</v>
      </c>
      <c r="D154" s="74">
        <v>45112</v>
      </c>
      <c r="E154" s="10" t="s">
        <v>973</v>
      </c>
      <c r="F154" s="75" t="str">
        <f>VLOOKUP($E154,'Item Classification'!B:C,2,0)</f>
        <v>155mm howitzer ammunition</v>
      </c>
      <c r="G154" s="10" t="str">
        <f>VLOOKUP($E154,'Item Classification'!B:D,3,0)</f>
        <v>Ammunition</v>
      </c>
      <c r="H154" s="76">
        <f>VLOOKUP($E154,'Item Classification'!B:E,4,0)</f>
        <v>4</v>
      </c>
      <c r="I154" s="81" t="s">
        <v>162</v>
      </c>
      <c r="J154" s="81" t="s">
        <v>162</v>
      </c>
      <c r="K154" s="81">
        <v>2023</v>
      </c>
      <c r="L154" s="81" t="s">
        <v>162</v>
      </c>
      <c r="M154" s="81" t="s">
        <v>162</v>
      </c>
      <c r="N154" s="10" t="s">
        <v>784</v>
      </c>
      <c r="O154" s="10" t="s">
        <v>162</v>
      </c>
      <c r="P154" s="10" t="s">
        <v>163</v>
      </c>
      <c r="Q154" s="77">
        <v>43</v>
      </c>
      <c r="R154" s="77">
        <v>1</v>
      </c>
      <c r="S154" s="77">
        <v>0</v>
      </c>
      <c r="T154" s="77">
        <v>0</v>
      </c>
      <c r="U154" s="77">
        <v>1</v>
      </c>
      <c r="V154" s="77">
        <v>0</v>
      </c>
      <c r="W154" s="77">
        <v>0</v>
      </c>
      <c r="X154" s="77">
        <v>0</v>
      </c>
      <c r="Y154" s="10" t="s">
        <v>268</v>
      </c>
      <c r="Z154" s="21" t="s">
        <v>163</v>
      </c>
      <c r="AA154" s="21" t="s">
        <v>162</v>
      </c>
      <c r="AB154" s="10" t="s">
        <v>162</v>
      </c>
      <c r="AC154" s="21" t="s">
        <v>162</v>
      </c>
      <c r="AD154" s="21" t="s">
        <v>162</v>
      </c>
      <c r="AE154" s="21" t="s">
        <v>162</v>
      </c>
      <c r="AF154" s="10" t="s">
        <v>162</v>
      </c>
      <c r="AG154" s="10" t="s">
        <v>162</v>
      </c>
      <c r="AH154" s="21" t="s">
        <v>162</v>
      </c>
      <c r="AI154" s="21" t="s">
        <v>162</v>
      </c>
      <c r="AJ154" s="21" t="s">
        <v>162</v>
      </c>
      <c r="AK154" s="21" t="s">
        <v>162</v>
      </c>
      <c r="AL154" s="21" t="s">
        <v>162</v>
      </c>
      <c r="AM154" s="21" t="s">
        <v>162</v>
      </c>
      <c r="AN154" s="21" t="s">
        <v>162</v>
      </c>
      <c r="AO154" s="10" t="s">
        <v>162</v>
      </c>
      <c r="AP154" s="21" t="s">
        <v>162</v>
      </c>
      <c r="AQ154" s="10" t="s">
        <v>956</v>
      </c>
      <c r="AR154" s="10" t="s">
        <v>966</v>
      </c>
      <c r="AS154" s="10" t="s">
        <v>967</v>
      </c>
      <c r="AT154" s="10" t="s">
        <v>968</v>
      </c>
      <c r="AU154" s="10" t="s">
        <v>969</v>
      </c>
      <c r="AV154" s="10" t="s">
        <v>162</v>
      </c>
      <c r="AW154" s="10"/>
    </row>
    <row r="155" spans="1:49">
      <c r="A155" s="10" t="s">
        <v>974</v>
      </c>
      <c r="B155" s="21" t="s">
        <v>162</v>
      </c>
      <c r="C155" s="10" t="s">
        <v>163</v>
      </c>
      <c r="D155" s="74">
        <v>45112</v>
      </c>
      <c r="E155" s="10" t="s">
        <v>975</v>
      </c>
      <c r="F155" s="75" t="str">
        <f>VLOOKUP($E155,'Item Classification'!B:C,2,0)</f>
        <v>155mm ammunition equipment</v>
      </c>
      <c r="G155" s="10" t="str">
        <f>VLOOKUP($E155,'Item Classification'!B:D,3,0)</f>
        <v>Ammunition</v>
      </c>
      <c r="H155" s="76">
        <f>VLOOKUP($E155,'Item Classification'!B:E,4,0)</f>
        <v>4</v>
      </c>
      <c r="I155" s="81" t="s">
        <v>162</v>
      </c>
      <c r="J155" s="81" t="s">
        <v>162</v>
      </c>
      <c r="K155" s="81" t="s">
        <v>162</v>
      </c>
      <c r="L155" s="81" t="s">
        <v>162</v>
      </c>
      <c r="M155" s="81" t="s">
        <v>162</v>
      </c>
      <c r="N155" s="10" t="s">
        <v>784</v>
      </c>
      <c r="O155" s="10" t="s">
        <v>165</v>
      </c>
      <c r="P155" s="10" t="s">
        <v>163</v>
      </c>
      <c r="Q155" s="77">
        <v>43</v>
      </c>
      <c r="R155" s="77">
        <v>0</v>
      </c>
      <c r="S155" s="77">
        <v>0</v>
      </c>
      <c r="T155" s="77">
        <v>0</v>
      </c>
      <c r="U155" s="77">
        <v>1</v>
      </c>
      <c r="V155" s="77">
        <v>0</v>
      </c>
      <c r="W155" s="77">
        <v>0</v>
      </c>
      <c r="X155" s="77">
        <v>0</v>
      </c>
      <c r="Y155" s="10" t="s">
        <v>268</v>
      </c>
      <c r="Z155" s="21" t="s">
        <v>163</v>
      </c>
      <c r="AA155" s="21" t="s">
        <v>162</v>
      </c>
      <c r="AB155" s="10" t="s">
        <v>162</v>
      </c>
      <c r="AC155" s="21" t="s">
        <v>162</v>
      </c>
      <c r="AD155" s="21" t="s">
        <v>162</v>
      </c>
      <c r="AE155" s="21" t="s">
        <v>162</v>
      </c>
      <c r="AF155" s="10" t="s">
        <v>162</v>
      </c>
      <c r="AG155" s="10" t="s">
        <v>162</v>
      </c>
      <c r="AH155" s="21" t="s">
        <v>162</v>
      </c>
      <c r="AI155" s="21" t="s">
        <v>162</v>
      </c>
      <c r="AJ155" s="21" t="s">
        <v>162</v>
      </c>
      <c r="AK155" s="21" t="s">
        <v>162</v>
      </c>
      <c r="AL155" s="21" t="s">
        <v>162</v>
      </c>
      <c r="AM155" s="21" t="s">
        <v>162</v>
      </c>
      <c r="AN155" s="21" t="s">
        <v>162</v>
      </c>
      <c r="AO155" s="10" t="s">
        <v>162</v>
      </c>
      <c r="AP155" s="21" t="s">
        <v>162</v>
      </c>
      <c r="AQ155" s="10" t="s">
        <v>956</v>
      </c>
      <c r="AR155" s="10" t="s">
        <v>966</v>
      </c>
      <c r="AS155" s="10" t="s">
        <v>162</v>
      </c>
      <c r="AT155" s="10" t="s">
        <v>976</v>
      </c>
      <c r="AU155" s="10" t="s">
        <v>977</v>
      </c>
      <c r="AV155" s="10" t="s">
        <v>162</v>
      </c>
      <c r="AW155" s="10"/>
    </row>
    <row r="156" spans="1:49">
      <c r="A156" s="10" t="s">
        <v>978</v>
      </c>
      <c r="B156" s="10" t="s">
        <v>266</v>
      </c>
      <c r="C156" s="10" t="s">
        <v>163</v>
      </c>
      <c r="D156" s="74">
        <v>45112</v>
      </c>
      <c r="E156" s="10" t="s">
        <v>162</v>
      </c>
      <c r="F156" s="75" t="s">
        <v>979</v>
      </c>
      <c r="G156" s="10" t="s">
        <v>965</v>
      </c>
      <c r="H156" s="76">
        <v>4</v>
      </c>
      <c r="I156" s="81" t="s">
        <v>162</v>
      </c>
      <c r="J156" s="81" t="s">
        <v>162</v>
      </c>
      <c r="K156" s="81" t="s">
        <v>162</v>
      </c>
      <c r="L156" s="81">
        <v>2025</v>
      </c>
      <c r="M156" s="184">
        <v>381000000</v>
      </c>
      <c r="N156" s="10" t="s">
        <v>784</v>
      </c>
      <c r="O156" s="10" t="s">
        <v>165</v>
      </c>
      <c r="P156" s="10" t="s">
        <v>163</v>
      </c>
      <c r="Q156" s="77">
        <v>43</v>
      </c>
      <c r="R156" s="77">
        <v>1</v>
      </c>
      <c r="S156" s="77">
        <v>0</v>
      </c>
      <c r="T156" s="77">
        <v>0</v>
      </c>
      <c r="U156" s="77">
        <v>1</v>
      </c>
      <c r="V156" s="77">
        <v>0</v>
      </c>
      <c r="W156" s="77">
        <v>0</v>
      </c>
      <c r="X156" s="77">
        <v>0</v>
      </c>
      <c r="Y156" s="10" t="s">
        <v>268</v>
      </c>
      <c r="Z156" s="21" t="s">
        <v>163</v>
      </c>
      <c r="AA156" s="21" t="s">
        <v>162</v>
      </c>
      <c r="AB156" s="10" t="s">
        <v>162</v>
      </c>
      <c r="AC156" s="21" t="s">
        <v>162</v>
      </c>
      <c r="AD156" s="21" t="s">
        <v>162</v>
      </c>
      <c r="AE156" s="21" t="s">
        <v>162</v>
      </c>
      <c r="AF156" s="10" t="s">
        <v>162</v>
      </c>
      <c r="AG156" s="10" t="s">
        <v>162</v>
      </c>
      <c r="AH156" s="21" t="s">
        <v>162</v>
      </c>
      <c r="AI156" s="21" t="s">
        <v>162</v>
      </c>
      <c r="AJ156" s="21" t="s">
        <v>162</v>
      </c>
      <c r="AK156" s="21" t="s">
        <v>162</v>
      </c>
      <c r="AL156" s="21" t="s">
        <v>162</v>
      </c>
      <c r="AM156" s="21" t="s">
        <v>162</v>
      </c>
      <c r="AN156" s="21" t="s">
        <v>162</v>
      </c>
      <c r="AO156" s="10" t="s">
        <v>162</v>
      </c>
      <c r="AP156" s="21" t="s">
        <v>162</v>
      </c>
      <c r="AQ156" s="10" t="s">
        <v>956</v>
      </c>
      <c r="AR156" s="10" t="s">
        <v>980</v>
      </c>
      <c r="AS156" s="10" t="s">
        <v>981</v>
      </c>
      <c r="AT156" s="10" t="s">
        <v>982</v>
      </c>
      <c r="AU156" s="10" t="s">
        <v>983</v>
      </c>
      <c r="AV156" s="10" t="s">
        <v>984</v>
      </c>
      <c r="AW156" s="10" t="s">
        <v>162</v>
      </c>
    </row>
    <row r="157" spans="1:49">
      <c r="A157" s="10" t="s">
        <v>985</v>
      </c>
      <c r="B157" s="10" t="s">
        <v>266</v>
      </c>
      <c r="C157" s="10" t="s">
        <v>163</v>
      </c>
      <c r="D157" s="74">
        <v>45112</v>
      </c>
      <c r="E157" s="10" t="s">
        <v>986</v>
      </c>
      <c r="F157" s="75" t="str">
        <f>VLOOKUP($E157,'Item Classification'!B:C,2,0)</f>
        <v>120mm tank ammunition</v>
      </c>
      <c r="G157" s="10" t="str">
        <f>VLOOKUP($E157,'Item Classification'!B:D,3,0)</f>
        <v>Ammunition</v>
      </c>
      <c r="H157" s="76">
        <f>VLOOKUP($E157,'Item Classification'!B:E,4,0)</f>
        <v>4</v>
      </c>
      <c r="I157" s="81">
        <v>80000</v>
      </c>
      <c r="J157" s="81" t="s">
        <v>162</v>
      </c>
      <c r="K157" s="81" t="s">
        <v>162</v>
      </c>
      <c r="L157" s="81">
        <v>2025</v>
      </c>
      <c r="M157" s="81" t="s">
        <v>162</v>
      </c>
      <c r="N157" s="10" t="s">
        <v>784</v>
      </c>
      <c r="O157" s="10" t="s">
        <v>165</v>
      </c>
      <c r="P157" s="10" t="s">
        <v>163</v>
      </c>
      <c r="Q157" s="77">
        <v>43</v>
      </c>
      <c r="R157" s="77">
        <v>1</v>
      </c>
      <c r="S157" s="77">
        <v>0</v>
      </c>
      <c r="T157" s="77">
        <v>0</v>
      </c>
      <c r="U157" s="77">
        <v>1</v>
      </c>
      <c r="V157" s="77">
        <v>0</v>
      </c>
      <c r="W157" s="77">
        <v>0</v>
      </c>
      <c r="X157" s="77">
        <v>0</v>
      </c>
      <c r="Y157" s="10" t="s">
        <v>268</v>
      </c>
      <c r="Z157" s="21" t="s">
        <v>163</v>
      </c>
      <c r="AA157" s="21" t="s">
        <v>162</v>
      </c>
      <c r="AB157" s="10" t="s">
        <v>162</v>
      </c>
      <c r="AC157" s="21" t="s">
        <v>162</v>
      </c>
      <c r="AD157" s="21" t="s">
        <v>162</v>
      </c>
      <c r="AE157" s="21" t="s">
        <v>162</v>
      </c>
      <c r="AF157" s="10" t="s">
        <v>162</v>
      </c>
      <c r="AG157" s="10" t="s">
        <v>162</v>
      </c>
      <c r="AH157" s="21" t="s">
        <v>162</v>
      </c>
      <c r="AI157" s="21" t="s">
        <v>162</v>
      </c>
      <c r="AJ157" s="21" t="s">
        <v>162</v>
      </c>
      <c r="AK157" s="21" t="s">
        <v>162</v>
      </c>
      <c r="AL157" s="21" t="s">
        <v>162</v>
      </c>
      <c r="AM157" s="21" t="s">
        <v>162</v>
      </c>
      <c r="AN157" s="21" t="s">
        <v>162</v>
      </c>
      <c r="AO157" s="10" t="s">
        <v>162</v>
      </c>
      <c r="AP157" s="21" t="s">
        <v>162</v>
      </c>
      <c r="AQ157" s="10" t="s">
        <v>956</v>
      </c>
      <c r="AR157" s="10" t="s">
        <v>980</v>
      </c>
      <c r="AS157" s="10" t="s">
        <v>981</v>
      </c>
      <c r="AT157" s="10" t="s">
        <v>982</v>
      </c>
      <c r="AU157" s="10" t="s">
        <v>983</v>
      </c>
      <c r="AV157" s="10" t="s">
        <v>984</v>
      </c>
      <c r="AW157" s="10" t="s">
        <v>162</v>
      </c>
    </row>
    <row r="158" spans="1:49">
      <c r="A158" s="10" t="s">
        <v>987</v>
      </c>
      <c r="B158" s="10" t="s">
        <v>266</v>
      </c>
      <c r="C158" s="10" t="s">
        <v>163</v>
      </c>
      <c r="D158" s="74">
        <v>45112</v>
      </c>
      <c r="E158" s="10" t="s">
        <v>988</v>
      </c>
      <c r="F158" s="75" t="str">
        <f>VLOOKUP($E158,'Item Classification'!B:C,2,0)</f>
        <v>120mm tank ammunition</v>
      </c>
      <c r="G158" s="10" t="str">
        <f>VLOOKUP($E158,'Item Classification'!B:D,3,0)</f>
        <v>Ammunition</v>
      </c>
      <c r="H158" s="76">
        <f>VLOOKUP($E158,'Item Classification'!B:E,4,0)</f>
        <v>4</v>
      </c>
      <c r="I158" s="81">
        <v>33000</v>
      </c>
      <c r="J158" s="81" t="s">
        <v>162</v>
      </c>
      <c r="K158" s="81" t="s">
        <v>162</v>
      </c>
      <c r="L158" s="81">
        <v>2025</v>
      </c>
      <c r="M158" s="81" t="s">
        <v>162</v>
      </c>
      <c r="N158" s="10" t="s">
        <v>784</v>
      </c>
      <c r="O158" s="10" t="s">
        <v>165</v>
      </c>
      <c r="P158" s="10" t="s">
        <v>785</v>
      </c>
      <c r="Q158" s="77">
        <v>43</v>
      </c>
      <c r="R158" s="77">
        <v>1</v>
      </c>
      <c r="S158" s="77">
        <v>0</v>
      </c>
      <c r="T158" s="77">
        <v>0</v>
      </c>
      <c r="U158" s="77">
        <v>1</v>
      </c>
      <c r="V158" s="77">
        <v>0</v>
      </c>
      <c r="W158" s="77">
        <v>0</v>
      </c>
      <c r="X158" s="77">
        <v>0</v>
      </c>
      <c r="Y158" s="10" t="s">
        <v>268</v>
      </c>
      <c r="Z158" s="21" t="s">
        <v>163</v>
      </c>
      <c r="AA158" s="21" t="s">
        <v>162</v>
      </c>
      <c r="AB158" s="10" t="s">
        <v>162</v>
      </c>
      <c r="AC158" s="21" t="s">
        <v>162</v>
      </c>
      <c r="AD158" s="21" t="s">
        <v>162</v>
      </c>
      <c r="AE158" s="21" t="s">
        <v>162</v>
      </c>
      <c r="AF158" s="10" t="s">
        <v>162</v>
      </c>
      <c r="AG158" s="10" t="s">
        <v>162</v>
      </c>
      <c r="AH158" s="21" t="s">
        <v>162</v>
      </c>
      <c r="AI158" s="21" t="s">
        <v>162</v>
      </c>
      <c r="AJ158" s="21" t="s">
        <v>162</v>
      </c>
      <c r="AK158" s="21" t="s">
        <v>162</v>
      </c>
      <c r="AL158" s="21" t="s">
        <v>162</v>
      </c>
      <c r="AM158" s="21" t="s">
        <v>162</v>
      </c>
      <c r="AN158" s="21" t="s">
        <v>162</v>
      </c>
      <c r="AO158" s="10" t="s">
        <v>162</v>
      </c>
      <c r="AP158" s="21" t="s">
        <v>162</v>
      </c>
      <c r="AQ158" s="10" t="s">
        <v>956</v>
      </c>
      <c r="AR158" s="10" t="s">
        <v>980</v>
      </c>
      <c r="AS158" s="10" t="s">
        <v>981</v>
      </c>
      <c r="AT158" s="10" t="s">
        <v>982</v>
      </c>
      <c r="AU158" s="10" t="s">
        <v>983</v>
      </c>
      <c r="AV158" s="10" t="s">
        <v>984</v>
      </c>
      <c r="AW158" s="10" t="s">
        <v>162</v>
      </c>
    </row>
    <row r="159" spans="1:49">
      <c r="A159" s="10" t="s">
        <v>989</v>
      </c>
      <c r="B159" s="10" t="s">
        <v>719</v>
      </c>
      <c r="C159" s="10" t="s">
        <v>163</v>
      </c>
      <c r="D159" s="74">
        <v>45112</v>
      </c>
      <c r="E159" s="10" t="s">
        <v>720</v>
      </c>
      <c r="F159" s="75" t="str">
        <f>VLOOKUP($E159,'Item Classification'!B:C,2,0)</f>
        <v xml:space="preserve">30mm infantry fighting vehicle ammunition </v>
      </c>
      <c r="G159" s="10" t="str">
        <f>VLOOKUP($E159,'Item Classification'!B:D,3,0)</f>
        <v>Ammunition</v>
      </c>
      <c r="H159" s="76">
        <f>VLOOKUP($E159,'Item Classification'!B:E,4,0)</f>
        <v>4</v>
      </c>
      <c r="I159" s="81" t="s">
        <v>162</v>
      </c>
      <c r="J159" s="81" t="s">
        <v>162</v>
      </c>
      <c r="K159" s="81" t="s">
        <v>162</v>
      </c>
      <c r="L159" s="81" t="s">
        <v>162</v>
      </c>
      <c r="M159" s="184">
        <v>67600000</v>
      </c>
      <c r="N159" s="10" t="s">
        <v>165</v>
      </c>
      <c r="O159" s="10" t="s">
        <v>162</v>
      </c>
      <c r="P159" s="10" t="s">
        <v>163</v>
      </c>
      <c r="Q159" s="77">
        <v>43</v>
      </c>
      <c r="R159" s="77">
        <v>1</v>
      </c>
      <c r="S159" s="77">
        <v>0</v>
      </c>
      <c r="T159" s="77">
        <v>0</v>
      </c>
      <c r="U159" s="77">
        <v>1</v>
      </c>
      <c r="V159" s="77">
        <v>0</v>
      </c>
      <c r="W159" s="77">
        <v>0</v>
      </c>
      <c r="X159" s="77">
        <v>0</v>
      </c>
      <c r="Y159" s="10" t="s">
        <v>268</v>
      </c>
      <c r="Z159" s="10" t="s">
        <v>163</v>
      </c>
      <c r="AA159" s="10" t="s">
        <v>162</v>
      </c>
      <c r="AB159" s="10" t="s">
        <v>162</v>
      </c>
      <c r="AC159" s="21" t="s">
        <v>162</v>
      </c>
      <c r="AD159" s="21" t="s">
        <v>162</v>
      </c>
      <c r="AE159" s="21" t="s">
        <v>162</v>
      </c>
      <c r="AF159" s="10" t="s">
        <v>162</v>
      </c>
      <c r="AG159" s="10" t="s">
        <v>162</v>
      </c>
      <c r="AH159" s="21" t="s">
        <v>162</v>
      </c>
      <c r="AI159" s="21" t="s">
        <v>162</v>
      </c>
      <c r="AJ159" s="21" t="s">
        <v>162</v>
      </c>
      <c r="AK159" s="21" t="s">
        <v>162</v>
      </c>
      <c r="AL159" s="21" t="s">
        <v>162</v>
      </c>
      <c r="AM159" s="21" t="s">
        <v>162</v>
      </c>
      <c r="AN159" s="21" t="s">
        <v>162</v>
      </c>
      <c r="AO159" s="10" t="s">
        <v>162</v>
      </c>
      <c r="AP159" s="21" t="s">
        <v>162</v>
      </c>
      <c r="AQ159" s="10" t="s">
        <v>956</v>
      </c>
      <c r="AR159" s="10" t="s">
        <v>722</v>
      </c>
      <c r="AS159" s="10" t="s">
        <v>162</v>
      </c>
      <c r="AT159" s="10" t="s">
        <v>990</v>
      </c>
      <c r="AU159" s="10" t="s">
        <v>724</v>
      </c>
      <c r="AV159" s="10" t="s">
        <v>162</v>
      </c>
      <c r="AW159" s="10"/>
    </row>
    <row r="160" spans="1:49">
      <c r="A160" s="10" t="s">
        <v>991</v>
      </c>
      <c r="B160" s="21" t="s">
        <v>162</v>
      </c>
      <c r="C160" s="10" t="s">
        <v>163</v>
      </c>
      <c r="D160" s="74">
        <v>45112</v>
      </c>
      <c r="E160" s="82" t="s">
        <v>992</v>
      </c>
      <c r="F160" s="75" t="str">
        <f>VLOOKUP($E160,'Item Classification'!B:C,2,0)</f>
        <v>Small Arms and Light Weapons (SALW) ammunition</v>
      </c>
      <c r="G160" s="10" t="str">
        <f>VLOOKUP($E160,'Item Classification'!B:D,3,0)</f>
        <v>Infantry</v>
      </c>
      <c r="H160" s="76">
        <f>VLOOKUP($E160,'Item Classification'!B:E,4,0)</f>
        <v>8</v>
      </c>
      <c r="I160" s="81">
        <v>135000000</v>
      </c>
      <c r="J160" s="182">
        <f>M160/I160</f>
        <v>0.97037037037037033</v>
      </c>
      <c r="K160" s="81">
        <v>2023</v>
      </c>
      <c r="L160" s="81" t="s">
        <v>162</v>
      </c>
      <c r="M160" s="183">
        <v>131000000</v>
      </c>
      <c r="N160" s="10" t="s">
        <v>165</v>
      </c>
      <c r="O160" s="10" t="s">
        <v>162</v>
      </c>
      <c r="P160" s="10" t="s">
        <v>163</v>
      </c>
      <c r="Q160" s="77">
        <v>43</v>
      </c>
      <c r="R160" s="77">
        <v>1</v>
      </c>
      <c r="S160" s="77">
        <v>0</v>
      </c>
      <c r="T160" s="77">
        <v>0</v>
      </c>
      <c r="U160" s="77">
        <v>1</v>
      </c>
      <c r="V160" s="77">
        <v>0</v>
      </c>
      <c r="W160" s="77">
        <v>0</v>
      </c>
      <c r="X160" s="77">
        <v>0</v>
      </c>
      <c r="Y160" s="10" t="s">
        <v>993</v>
      </c>
      <c r="Z160" s="21" t="s">
        <v>163</v>
      </c>
      <c r="AA160" s="21" t="s">
        <v>162</v>
      </c>
      <c r="AB160" s="10" t="s">
        <v>162</v>
      </c>
      <c r="AC160" s="21" t="s">
        <v>162</v>
      </c>
      <c r="AD160" s="21" t="s">
        <v>162</v>
      </c>
      <c r="AE160" s="21" t="s">
        <v>162</v>
      </c>
      <c r="AF160" s="10" t="s">
        <v>162</v>
      </c>
      <c r="AG160" s="10" t="s">
        <v>162</v>
      </c>
      <c r="AH160" s="21" t="s">
        <v>162</v>
      </c>
      <c r="AI160" s="21" t="s">
        <v>162</v>
      </c>
      <c r="AJ160" s="21" t="s">
        <v>162</v>
      </c>
      <c r="AK160" s="21" t="s">
        <v>162</v>
      </c>
      <c r="AL160" s="21" t="s">
        <v>162</v>
      </c>
      <c r="AM160" s="21" t="s">
        <v>162</v>
      </c>
      <c r="AN160" s="21" t="s">
        <v>162</v>
      </c>
      <c r="AO160" s="10" t="s">
        <v>162</v>
      </c>
      <c r="AP160" s="21" t="s">
        <v>162</v>
      </c>
      <c r="AQ160" s="10" t="s">
        <v>956</v>
      </c>
      <c r="AR160" s="10" t="s">
        <v>994</v>
      </c>
      <c r="AS160" s="10" t="s">
        <v>162</v>
      </c>
      <c r="AT160" s="10" t="s">
        <v>995</v>
      </c>
      <c r="AU160" s="10" t="s">
        <v>996</v>
      </c>
      <c r="AV160" s="10" t="s">
        <v>162</v>
      </c>
      <c r="AW160" s="10"/>
    </row>
    <row r="161" spans="1:49">
      <c r="A161" s="10" t="s">
        <v>997</v>
      </c>
      <c r="B161" s="21" t="s">
        <v>162</v>
      </c>
      <c r="C161" s="10" t="s">
        <v>163</v>
      </c>
      <c r="D161" s="74">
        <v>45189</v>
      </c>
      <c r="E161" s="10" t="s">
        <v>998</v>
      </c>
      <c r="F161" s="75" t="str">
        <f>VLOOKUP($E161,'Item Classification'!B:C,2,0)</f>
        <v>Air-supported reconnaissance drone</v>
      </c>
      <c r="G161" s="10" t="str">
        <f>VLOOKUP($E161,'Item Classification'!B:D,3,0)</f>
        <v>Drone</v>
      </c>
      <c r="H161" s="76">
        <v>7</v>
      </c>
      <c r="I161" s="81">
        <v>13</v>
      </c>
      <c r="J161" s="182">
        <f>M161/I161</f>
        <v>18353846.153846152</v>
      </c>
      <c r="K161" s="81">
        <v>2025</v>
      </c>
      <c r="L161" s="81" t="s">
        <v>162</v>
      </c>
      <c r="M161" s="184">
        <v>238600000</v>
      </c>
      <c r="N161" s="10" t="s">
        <v>165</v>
      </c>
      <c r="O161" s="10" t="s">
        <v>162</v>
      </c>
      <c r="P161" s="10" t="s">
        <v>163</v>
      </c>
      <c r="Q161" s="77">
        <v>45</v>
      </c>
      <c r="R161" s="77">
        <v>0</v>
      </c>
      <c r="S161" s="77">
        <v>0</v>
      </c>
      <c r="T161" s="77">
        <v>0</v>
      </c>
      <c r="U161" s="77">
        <v>1</v>
      </c>
      <c r="V161" s="77">
        <v>0</v>
      </c>
      <c r="W161" s="77">
        <v>0</v>
      </c>
      <c r="X161" s="77">
        <v>0</v>
      </c>
      <c r="Y161" s="10" t="s">
        <v>268</v>
      </c>
      <c r="Z161" s="10" t="s">
        <v>163</v>
      </c>
      <c r="AA161" s="10" t="s">
        <v>162</v>
      </c>
      <c r="AB161" s="10" t="s">
        <v>162</v>
      </c>
      <c r="AC161" s="21" t="s">
        <v>162</v>
      </c>
      <c r="AD161" s="21" t="s">
        <v>162</v>
      </c>
      <c r="AE161" s="21" t="s">
        <v>162</v>
      </c>
      <c r="AF161" s="10" t="s">
        <v>162</v>
      </c>
      <c r="AG161" s="10" t="s">
        <v>162</v>
      </c>
      <c r="AH161" s="21" t="s">
        <v>162</v>
      </c>
      <c r="AI161" s="21" t="s">
        <v>162</v>
      </c>
      <c r="AJ161" s="21" t="s">
        <v>162</v>
      </c>
      <c r="AK161" s="21" t="s">
        <v>162</v>
      </c>
      <c r="AL161" s="21" t="s">
        <v>162</v>
      </c>
      <c r="AM161" s="21" t="s">
        <v>162</v>
      </c>
      <c r="AN161" s="21" t="s">
        <v>162</v>
      </c>
      <c r="AO161" s="10" t="s">
        <v>162</v>
      </c>
      <c r="AP161" s="21" t="s">
        <v>162</v>
      </c>
      <c r="AQ161" s="10" t="s">
        <v>999</v>
      </c>
      <c r="AR161" s="10" t="s">
        <v>1000</v>
      </c>
      <c r="AS161" s="10" t="s">
        <v>1001</v>
      </c>
      <c r="AT161" s="10" t="s">
        <v>1002</v>
      </c>
      <c r="AU161" s="10" t="s">
        <v>162</v>
      </c>
      <c r="AV161" s="10" t="s">
        <v>162</v>
      </c>
      <c r="AW161" s="10"/>
    </row>
    <row r="162" spans="1:49">
      <c r="A162" s="10" t="s">
        <v>1003</v>
      </c>
      <c r="B162" s="21" t="s">
        <v>1004</v>
      </c>
      <c r="C162" s="10" t="s">
        <v>163</v>
      </c>
      <c r="D162" s="74">
        <v>45189</v>
      </c>
      <c r="E162" s="10" t="s">
        <v>1005</v>
      </c>
      <c r="F162" s="75" t="str">
        <f>VLOOKUP($E162,'Item Classification'!B:C,2,0)</f>
        <v>Fighter jet radar development</v>
      </c>
      <c r="G162" s="10" t="str">
        <f>VLOOKUP($E162,'Item Classification'!B:D,3,0)</f>
        <v>Development - Aircraft</v>
      </c>
      <c r="H162" s="76">
        <f>VLOOKUP($E162,'Item Classification'!B:E,4,0)</f>
        <v>15</v>
      </c>
      <c r="I162" s="81" t="s">
        <v>162</v>
      </c>
      <c r="J162" s="81" t="s">
        <v>162</v>
      </c>
      <c r="K162" s="81">
        <v>2025</v>
      </c>
      <c r="L162" s="81">
        <v>2028</v>
      </c>
      <c r="M162" s="183">
        <v>197700000</v>
      </c>
      <c r="N162" s="10" t="s">
        <v>165</v>
      </c>
      <c r="O162" s="10" t="s">
        <v>162</v>
      </c>
      <c r="P162" s="10" t="s">
        <v>163</v>
      </c>
      <c r="Q162" s="77">
        <v>45</v>
      </c>
      <c r="R162" s="77">
        <v>0</v>
      </c>
      <c r="S162" s="77">
        <v>0</v>
      </c>
      <c r="T162" s="77">
        <v>0</v>
      </c>
      <c r="U162" s="77">
        <v>1</v>
      </c>
      <c r="V162" s="77">
        <v>1</v>
      </c>
      <c r="W162" s="77">
        <v>0</v>
      </c>
      <c r="X162" s="77">
        <v>1</v>
      </c>
      <c r="Y162" s="10" t="s">
        <v>1006</v>
      </c>
      <c r="Z162" s="21" t="s">
        <v>163</v>
      </c>
      <c r="AA162" s="21" t="s">
        <v>162</v>
      </c>
      <c r="AB162" s="10" t="s">
        <v>179</v>
      </c>
      <c r="AC162" s="21" t="s">
        <v>189</v>
      </c>
      <c r="AD162" s="21" t="s">
        <v>162</v>
      </c>
      <c r="AE162" s="21" t="s">
        <v>162</v>
      </c>
      <c r="AF162" s="10" t="s">
        <v>190</v>
      </c>
      <c r="AG162" s="10" t="s">
        <v>162</v>
      </c>
      <c r="AH162" s="21" t="s">
        <v>162</v>
      </c>
      <c r="AI162" s="21" t="s">
        <v>162</v>
      </c>
      <c r="AJ162" s="21" t="s">
        <v>162</v>
      </c>
      <c r="AK162" s="21" t="s">
        <v>162</v>
      </c>
      <c r="AL162" s="21" t="s">
        <v>162</v>
      </c>
      <c r="AM162" s="21" t="s">
        <v>162</v>
      </c>
      <c r="AN162" s="21" t="s">
        <v>162</v>
      </c>
      <c r="AO162" s="10" t="s">
        <v>162</v>
      </c>
      <c r="AP162" s="21" t="s">
        <v>162</v>
      </c>
      <c r="AQ162" s="10" t="s">
        <v>999</v>
      </c>
      <c r="AR162" s="10" t="s">
        <v>1007</v>
      </c>
      <c r="AS162" s="10" t="s">
        <v>162</v>
      </c>
      <c r="AT162" s="10" t="s">
        <v>1008</v>
      </c>
      <c r="AU162" s="10" t="s">
        <v>162</v>
      </c>
      <c r="AV162" s="10" t="s">
        <v>162</v>
      </c>
      <c r="AW162" s="10"/>
    </row>
    <row r="163" spans="1:49">
      <c r="A163" s="10" t="s">
        <v>1009</v>
      </c>
      <c r="B163" s="21" t="s">
        <v>162</v>
      </c>
      <c r="C163" s="10" t="s">
        <v>163</v>
      </c>
      <c r="D163" s="74">
        <v>45218</v>
      </c>
      <c r="E163" s="10" t="s">
        <v>1010</v>
      </c>
      <c r="F163" s="75" t="str">
        <f>VLOOKUP($E163,'Item Classification'!B:C,2,0)</f>
        <v>Surface-to-air missile (SAM) system</v>
      </c>
      <c r="G163" s="10" t="str">
        <f>VLOOKUP($E163,'Item Classification'!B:D,3,0)</f>
        <v>Air defence system</v>
      </c>
      <c r="H163" s="76">
        <f>VLOOKUP($E163,'Item Classification'!B:E,4,0)</f>
        <v>5</v>
      </c>
      <c r="I163" s="81">
        <v>1</v>
      </c>
      <c r="J163" s="182">
        <f>M163/I163</f>
        <v>4000000000</v>
      </c>
      <c r="K163" s="81">
        <v>2025</v>
      </c>
      <c r="L163" s="81">
        <v>2030</v>
      </c>
      <c r="M163" s="183">
        <v>4000000000</v>
      </c>
      <c r="N163" s="10" t="s">
        <v>665</v>
      </c>
      <c r="O163" s="10" t="s">
        <v>162</v>
      </c>
      <c r="P163" s="10" t="s">
        <v>163</v>
      </c>
      <c r="Q163" s="77">
        <v>46</v>
      </c>
      <c r="R163" s="77">
        <v>0</v>
      </c>
      <c r="S163" s="77">
        <v>0</v>
      </c>
      <c r="T163" s="77">
        <v>0</v>
      </c>
      <c r="U163" s="77">
        <v>0</v>
      </c>
      <c r="V163" s="77">
        <v>0</v>
      </c>
      <c r="W163" s="77">
        <v>1</v>
      </c>
      <c r="X163" s="77">
        <v>1</v>
      </c>
      <c r="Y163" s="10" t="s">
        <v>166</v>
      </c>
      <c r="Z163" s="10" t="s">
        <v>167</v>
      </c>
      <c r="AA163" s="10" t="s">
        <v>167</v>
      </c>
      <c r="AB163" s="10" t="s">
        <v>214</v>
      </c>
      <c r="AC163" s="21" t="s">
        <v>701</v>
      </c>
      <c r="AD163" s="21" t="s">
        <v>162</v>
      </c>
      <c r="AE163" s="21" t="s">
        <v>162</v>
      </c>
      <c r="AF163" s="10" t="s">
        <v>218</v>
      </c>
      <c r="AG163" s="10" t="s">
        <v>163</v>
      </c>
      <c r="AH163" s="21" t="s">
        <v>162</v>
      </c>
      <c r="AI163" s="21" t="s">
        <v>162</v>
      </c>
      <c r="AJ163" s="21" t="s">
        <v>162</v>
      </c>
      <c r="AK163" s="21" t="s">
        <v>162</v>
      </c>
      <c r="AL163" s="21" t="s">
        <v>162</v>
      </c>
      <c r="AM163" s="21" t="s">
        <v>162</v>
      </c>
      <c r="AN163" s="21" t="s">
        <v>162</v>
      </c>
      <c r="AO163" s="10" t="s">
        <v>218</v>
      </c>
      <c r="AP163" s="21" t="s">
        <v>162</v>
      </c>
      <c r="AQ163" s="10" t="s">
        <v>1011</v>
      </c>
      <c r="AR163" s="10" t="s">
        <v>1012</v>
      </c>
      <c r="AS163" s="10" t="s">
        <v>1013</v>
      </c>
      <c r="AT163" s="10" t="s">
        <v>1014</v>
      </c>
      <c r="AU163" s="10" t="s">
        <v>1015</v>
      </c>
      <c r="AV163" s="10" t="s">
        <v>162</v>
      </c>
      <c r="AW163" s="10"/>
    </row>
    <row r="164" spans="1:49">
      <c r="A164" s="10" t="s">
        <v>1016</v>
      </c>
      <c r="B164" s="21" t="s">
        <v>162</v>
      </c>
      <c r="C164" s="10" t="s">
        <v>163</v>
      </c>
      <c r="D164" s="74">
        <v>45218</v>
      </c>
      <c r="E164" s="10" t="s">
        <v>1017</v>
      </c>
      <c r="F164" s="75" t="str">
        <f>VLOOKUP($E164,'Item Classification'!B:C,2,0)</f>
        <v>Underwater reconnaissance drone</v>
      </c>
      <c r="G164" s="10" t="str">
        <f>VLOOKUP($E164,'Item Classification'!B:D,3,0)</f>
        <v>Drone</v>
      </c>
      <c r="H164" s="76">
        <f>VLOOKUP($E164,'Item Classification'!B:E,4,0)</f>
        <v>7</v>
      </c>
      <c r="I164" s="81">
        <v>4</v>
      </c>
      <c r="J164" s="182">
        <f>M164/I164</f>
        <v>13125000</v>
      </c>
      <c r="K164" s="81">
        <v>2024</v>
      </c>
      <c r="L164" s="81">
        <v>2025</v>
      </c>
      <c r="M164" s="183">
        <v>52500000</v>
      </c>
      <c r="N164" s="10" t="s">
        <v>165</v>
      </c>
      <c r="O164" s="10" t="s">
        <v>162</v>
      </c>
      <c r="P164" s="10" t="s">
        <v>163</v>
      </c>
      <c r="Q164" s="77">
        <v>46</v>
      </c>
      <c r="R164" s="77">
        <v>1</v>
      </c>
      <c r="S164" s="77">
        <v>0</v>
      </c>
      <c r="T164" s="77">
        <v>0</v>
      </c>
      <c r="U164" s="77" t="s">
        <v>162</v>
      </c>
      <c r="V164" s="77" t="s">
        <v>162</v>
      </c>
      <c r="W164" s="77" t="s">
        <v>162</v>
      </c>
      <c r="X164" s="77" t="s">
        <v>162</v>
      </c>
      <c r="Y164" s="10" t="s">
        <v>162</v>
      </c>
      <c r="Z164" s="10" t="s">
        <v>162</v>
      </c>
      <c r="AA164" s="10" t="s">
        <v>162</v>
      </c>
      <c r="AB164" s="10" t="s">
        <v>162</v>
      </c>
      <c r="AC164" s="21" t="s">
        <v>162</v>
      </c>
      <c r="AD164" s="21" t="s">
        <v>162</v>
      </c>
      <c r="AE164" s="21" t="s">
        <v>162</v>
      </c>
      <c r="AF164" s="10" t="s">
        <v>162</v>
      </c>
      <c r="AG164" s="10" t="s">
        <v>162</v>
      </c>
      <c r="AH164" s="21" t="s">
        <v>162</v>
      </c>
      <c r="AI164" s="21" t="s">
        <v>162</v>
      </c>
      <c r="AJ164" s="21" t="s">
        <v>162</v>
      </c>
      <c r="AK164" s="21" t="s">
        <v>162</v>
      </c>
      <c r="AL164" s="21" t="s">
        <v>162</v>
      </c>
      <c r="AM164" s="21" t="s">
        <v>162</v>
      </c>
      <c r="AN164" s="21" t="s">
        <v>162</v>
      </c>
      <c r="AO164" s="10" t="s">
        <v>162</v>
      </c>
      <c r="AP164" s="21" t="s">
        <v>162</v>
      </c>
      <c r="AQ164" s="10" t="s">
        <v>1011</v>
      </c>
      <c r="AR164" s="10" t="s">
        <v>162</v>
      </c>
      <c r="AS164" s="10" t="s">
        <v>162</v>
      </c>
      <c r="AT164" s="10" t="s">
        <v>1018</v>
      </c>
      <c r="AU164" s="10" t="s">
        <v>162</v>
      </c>
      <c r="AV164" s="10" t="s">
        <v>162</v>
      </c>
      <c r="AW164" s="10"/>
    </row>
    <row r="165" spans="1:49">
      <c r="A165" s="10" t="s">
        <v>1019</v>
      </c>
      <c r="B165" s="21" t="s">
        <v>162</v>
      </c>
      <c r="C165" s="10" t="s">
        <v>163</v>
      </c>
      <c r="D165" s="74">
        <v>45218</v>
      </c>
      <c r="E165" s="10" t="s">
        <v>1020</v>
      </c>
      <c r="F165" s="75" t="str">
        <f>VLOOKUP($E165,'Item Classification'!B:C,2,0)</f>
        <v>Anti-tank directional mine</v>
      </c>
      <c r="G165" s="10" t="str">
        <f>VLOOKUP($E165,'Item Classification'!B:D,3,0)</f>
        <v>Mine</v>
      </c>
      <c r="H165" s="76">
        <f>VLOOKUP($E165,'Item Classification'!B:E,4,0)</f>
        <v>9</v>
      </c>
      <c r="I165" s="81">
        <v>2600</v>
      </c>
      <c r="J165" s="182">
        <f>M165/I165</f>
        <v>26153.846153846152</v>
      </c>
      <c r="K165" s="81">
        <v>2026</v>
      </c>
      <c r="L165" s="81" t="s">
        <v>162</v>
      </c>
      <c r="M165" s="183">
        <v>68000000</v>
      </c>
      <c r="N165" s="10" t="s">
        <v>784</v>
      </c>
      <c r="O165" s="10" t="s">
        <v>162</v>
      </c>
      <c r="P165" s="10" t="s">
        <v>163</v>
      </c>
      <c r="Q165" s="77">
        <v>46</v>
      </c>
      <c r="R165" s="77">
        <v>1</v>
      </c>
      <c r="S165" s="77">
        <v>0</v>
      </c>
      <c r="T165" s="77">
        <v>0</v>
      </c>
      <c r="U165" s="77">
        <v>1</v>
      </c>
      <c r="V165" s="77">
        <v>0</v>
      </c>
      <c r="W165" s="77">
        <v>0</v>
      </c>
      <c r="X165" s="77">
        <v>0</v>
      </c>
      <c r="Y165" s="10" t="s">
        <v>1021</v>
      </c>
      <c r="Z165" s="10" t="s">
        <v>163</v>
      </c>
      <c r="AA165" s="10" t="s">
        <v>163</v>
      </c>
      <c r="AB165" s="10" t="s">
        <v>162</v>
      </c>
      <c r="AC165" s="21" t="s">
        <v>162</v>
      </c>
      <c r="AD165" s="21" t="s">
        <v>162</v>
      </c>
      <c r="AE165" s="21" t="s">
        <v>162</v>
      </c>
      <c r="AF165" s="10" t="s">
        <v>162</v>
      </c>
      <c r="AG165" s="10" t="s">
        <v>162</v>
      </c>
      <c r="AH165" s="21" t="s">
        <v>162</v>
      </c>
      <c r="AI165" s="21" t="s">
        <v>162</v>
      </c>
      <c r="AJ165" s="21" t="s">
        <v>162</v>
      </c>
      <c r="AK165" s="21" t="s">
        <v>162</v>
      </c>
      <c r="AL165" s="21" t="s">
        <v>162</v>
      </c>
      <c r="AM165" s="21" t="s">
        <v>162</v>
      </c>
      <c r="AN165" s="21" t="s">
        <v>162</v>
      </c>
      <c r="AO165" s="10" t="s">
        <v>162</v>
      </c>
      <c r="AP165" s="21" t="s">
        <v>162</v>
      </c>
      <c r="AQ165" s="10" t="s">
        <v>1011</v>
      </c>
      <c r="AR165" s="10" t="s">
        <v>1022</v>
      </c>
      <c r="AS165" s="10" t="s">
        <v>1023</v>
      </c>
      <c r="AT165" s="10" t="s">
        <v>1024</v>
      </c>
      <c r="AU165" s="10" t="s">
        <v>1025</v>
      </c>
      <c r="AV165" s="10" t="s">
        <v>162</v>
      </c>
      <c r="AW165" s="10"/>
    </row>
    <row r="166" spans="1:49">
      <c r="A166" s="10" t="s">
        <v>1026</v>
      </c>
      <c r="B166" s="21" t="s">
        <v>162</v>
      </c>
      <c r="C166" s="10" t="s">
        <v>163</v>
      </c>
      <c r="D166" s="74">
        <v>45218</v>
      </c>
      <c r="E166" s="10" t="s">
        <v>762</v>
      </c>
      <c r="F166" s="75" t="str">
        <f>VLOOKUP($E166,'Item Classification'!B:C,2,0)</f>
        <v>Communication equipment</v>
      </c>
      <c r="G166" s="10" t="str">
        <f>VLOOKUP($E166,'Item Classification'!B:D,3,0)</f>
        <v>Modernisation</v>
      </c>
      <c r="H166" s="76">
        <f>VLOOKUP($E166,'Item Classification'!B:E,4,0)</f>
        <v>13</v>
      </c>
      <c r="I166" s="81" t="s">
        <v>162</v>
      </c>
      <c r="J166" s="81" t="s">
        <v>162</v>
      </c>
      <c r="K166" s="81">
        <v>2023</v>
      </c>
      <c r="L166" s="81">
        <v>2025</v>
      </c>
      <c r="M166" s="183">
        <v>130000000</v>
      </c>
      <c r="N166" s="10" t="s">
        <v>665</v>
      </c>
      <c r="O166" s="10" t="s">
        <v>165</v>
      </c>
      <c r="P166" s="10" t="s">
        <v>163</v>
      </c>
      <c r="Q166" s="77">
        <v>46</v>
      </c>
      <c r="R166" s="77">
        <v>1</v>
      </c>
      <c r="S166" s="77">
        <v>0</v>
      </c>
      <c r="T166" s="77">
        <v>0</v>
      </c>
      <c r="U166" s="77">
        <v>1</v>
      </c>
      <c r="V166" s="77">
        <v>0</v>
      </c>
      <c r="W166" s="77">
        <v>0</v>
      </c>
      <c r="X166" s="77">
        <v>0</v>
      </c>
      <c r="Y166" s="10" t="s">
        <v>763</v>
      </c>
      <c r="Z166" s="21" t="s">
        <v>163</v>
      </c>
      <c r="AA166" s="21" t="s">
        <v>162</v>
      </c>
      <c r="AB166" s="10" t="s">
        <v>162</v>
      </c>
      <c r="AC166" s="21" t="s">
        <v>162</v>
      </c>
      <c r="AD166" s="21" t="s">
        <v>162</v>
      </c>
      <c r="AE166" s="21" t="s">
        <v>162</v>
      </c>
      <c r="AF166" s="10" t="s">
        <v>162</v>
      </c>
      <c r="AG166" s="10" t="s">
        <v>162</v>
      </c>
      <c r="AH166" s="21" t="s">
        <v>162</v>
      </c>
      <c r="AI166" s="21" t="s">
        <v>162</v>
      </c>
      <c r="AJ166" s="21" t="s">
        <v>162</v>
      </c>
      <c r="AK166" s="21" t="s">
        <v>162</v>
      </c>
      <c r="AL166" s="21" t="s">
        <v>162</v>
      </c>
      <c r="AM166" s="21" t="s">
        <v>162</v>
      </c>
      <c r="AN166" s="21" t="s">
        <v>162</v>
      </c>
      <c r="AO166" s="10" t="s">
        <v>162</v>
      </c>
      <c r="AP166" s="21" t="s">
        <v>162</v>
      </c>
      <c r="AQ166" s="10" t="s">
        <v>1011</v>
      </c>
      <c r="AR166" s="10" t="s">
        <v>764</v>
      </c>
      <c r="AS166" s="10" t="s">
        <v>162</v>
      </c>
      <c r="AT166" s="10" t="s">
        <v>1027</v>
      </c>
      <c r="AU166" s="10" t="s">
        <v>162</v>
      </c>
      <c r="AV166" s="10" t="s">
        <v>162</v>
      </c>
      <c r="AW166" s="10"/>
    </row>
    <row r="167" spans="1:49">
      <c r="A167" s="10" t="s">
        <v>1028</v>
      </c>
      <c r="B167" s="21" t="s">
        <v>162</v>
      </c>
      <c r="C167" s="10" t="s">
        <v>163</v>
      </c>
      <c r="D167" s="74">
        <v>45218</v>
      </c>
      <c r="E167" s="10" t="s">
        <v>1029</v>
      </c>
      <c r="F167" s="75" t="str">
        <f>VLOOKUP($E167,'Item Classification'!B:C,2,0)</f>
        <v>Communication equipment</v>
      </c>
      <c r="G167" s="10" t="str">
        <f>VLOOKUP($E167,'Item Classification'!B:D,3,0)</f>
        <v>Modernisation</v>
      </c>
      <c r="H167" s="76">
        <f>VLOOKUP($E167,'Item Classification'!B:E,4,0)</f>
        <v>13</v>
      </c>
      <c r="I167" s="81">
        <v>1350</v>
      </c>
      <c r="J167" s="182">
        <f>M167/I167</f>
        <v>51851.851851851854</v>
      </c>
      <c r="K167" s="81">
        <v>2024</v>
      </c>
      <c r="L167" s="81">
        <v>2026</v>
      </c>
      <c r="M167" s="183">
        <v>70000000</v>
      </c>
      <c r="N167" s="10" t="s">
        <v>665</v>
      </c>
      <c r="O167" s="10" t="s">
        <v>162</v>
      </c>
      <c r="P167" s="10" t="s">
        <v>163</v>
      </c>
      <c r="Q167" s="77">
        <v>46</v>
      </c>
      <c r="R167" s="77">
        <v>0</v>
      </c>
      <c r="S167" s="77">
        <v>0</v>
      </c>
      <c r="T167" s="77">
        <v>0</v>
      </c>
      <c r="U167" s="77" t="s">
        <v>162</v>
      </c>
      <c r="V167" s="77" t="s">
        <v>162</v>
      </c>
      <c r="W167" s="77" t="s">
        <v>162</v>
      </c>
      <c r="X167" s="77" t="s">
        <v>162</v>
      </c>
      <c r="Y167" s="10" t="s">
        <v>162</v>
      </c>
      <c r="Z167" s="10" t="s">
        <v>162</v>
      </c>
      <c r="AA167" s="10" t="s">
        <v>162</v>
      </c>
      <c r="AB167" s="10" t="s">
        <v>162</v>
      </c>
      <c r="AC167" s="21" t="s">
        <v>162</v>
      </c>
      <c r="AD167" s="21" t="s">
        <v>162</v>
      </c>
      <c r="AE167" s="21" t="s">
        <v>162</v>
      </c>
      <c r="AF167" s="10" t="s">
        <v>162</v>
      </c>
      <c r="AG167" s="10" t="s">
        <v>162</v>
      </c>
      <c r="AH167" s="21" t="s">
        <v>162</v>
      </c>
      <c r="AI167" s="21" t="s">
        <v>162</v>
      </c>
      <c r="AJ167" s="21" t="s">
        <v>162</v>
      </c>
      <c r="AK167" s="21" t="s">
        <v>162</v>
      </c>
      <c r="AL167" s="21" t="s">
        <v>162</v>
      </c>
      <c r="AM167" s="21" t="s">
        <v>162</v>
      </c>
      <c r="AN167" s="21" t="s">
        <v>162</v>
      </c>
      <c r="AO167" s="10" t="s">
        <v>162</v>
      </c>
      <c r="AP167" s="21" t="s">
        <v>162</v>
      </c>
      <c r="AQ167" s="10" t="s">
        <v>1011</v>
      </c>
      <c r="AR167" s="10" t="s">
        <v>162</v>
      </c>
      <c r="AS167" s="10" t="s">
        <v>162</v>
      </c>
      <c r="AT167" s="10" t="s">
        <v>1030</v>
      </c>
      <c r="AU167" s="10" t="s">
        <v>162</v>
      </c>
      <c r="AV167" s="10" t="s">
        <v>162</v>
      </c>
      <c r="AW167" s="10"/>
    </row>
    <row r="168" spans="1:49">
      <c r="A168" s="10" t="s">
        <v>1031</v>
      </c>
      <c r="B168" s="21" t="s">
        <v>162</v>
      </c>
      <c r="C168" s="10" t="s">
        <v>163</v>
      </c>
      <c r="D168" s="74">
        <v>45218</v>
      </c>
      <c r="E168" s="10" t="s">
        <v>1032</v>
      </c>
      <c r="F168" s="75" t="str">
        <f>VLOOKUP($E168,'Item Classification'!B:C,2,0)</f>
        <v>Anti-aircraft surface-to-air missile (SAM) system (long-range) equipment</v>
      </c>
      <c r="G168" s="10" t="str">
        <f>VLOOKUP($E168,'Item Classification'!B:D,3,0)</f>
        <v>Air defence system</v>
      </c>
      <c r="H168" s="76">
        <f>VLOOKUP($E168,'Item Classification'!B:E,4,0)</f>
        <v>5</v>
      </c>
      <c r="I168" s="81">
        <v>51</v>
      </c>
      <c r="J168" s="182">
        <f>M168/I168</f>
        <v>794117.6470588235</v>
      </c>
      <c r="K168" s="81">
        <v>2025</v>
      </c>
      <c r="L168" s="81">
        <v>2027</v>
      </c>
      <c r="M168" s="183">
        <v>40500000</v>
      </c>
      <c r="N168" s="10" t="s">
        <v>665</v>
      </c>
      <c r="O168" s="10" t="s">
        <v>162</v>
      </c>
      <c r="P168" s="10" t="s">
        <v>163</v>
      </c>
      <c r="Q168" s="77">
        <v>46</v>
      </c>
      <c r="R168" s="77">
        <v>0</v>
      </c>
      <c r="S168" s="77">
        <v>0</v>
      </c>
      <c r="T168" s="77">
        <v>0</v>
      </c>
      <c r="U168" s="77">
        <v>0</v>
      </c>
      <c r="V168" s="77">
        <v>0</v>
      </c>
      <c r="W168" s="77">
        <v>0</v>
      </c>
      <c r="X168" s="77">
        <v>0</v>
      </c>
      <c r="Y168" s="10" t="s">
        <v>702</v>
      </c>
      <c r="Z168" s="5" t="s">
        <v>218</v>
      </c>
      <c r="AA168" s="21" t="s">
        <v>162</v>
      </c>
      <c r="AB168" s="10" t="s">
        <v>162</v>
      </c>
      <c r="AC168" s="21" t="s">
        <v>162</v>
      </c>
      <c r="AD168" s="21" t="s">
        <v>162</v>
      </c>
      <c r="AE168" s="21" t="s">
        <v>162</v>
      </c>
      <c r="AF168" s="10" t="s">
        <v>162</v>
      </c>
      <c r="AG168" s="10" t="s">
        <v>162</v>
      </c>
      <c r="AH168" s="21" t="s">
        <v>162</v>
      </c>
      <c r="AI168" s="21" t="s">
        <v>162</v>
      </c>
      <c r="AJ168" s="21" t="s">
        <v>162</v>
      </c>
      <c r="AK168" s="21" t="s">
        <v>162</v>
      </c>
      <c r="AL168" s="21" t="s">
        <v>162</v>
      </c>
      <c r="AM168" s="21" t="s">
        <v>162</v>
      </c>
      <c r="AN168" s="21" t="s">
        <v>162</v>
      </c>
      <c r="AO168" s="10" t="s">
        <v>162</v>
      </c>
      <c r="AP168" s="21" t="s">
        <v>162</v>
      </c>
      <c r="AQ168" s="10" t="s">
        <v>1011</v>
      </c>
      <c r="AR168" s="10" t="s">
        <v>162</v>
      </c>
      <c r="AS168" s="10" t="s">
        <v>162</v>
      </c>
      <c r="AT168" s="10" t="s">
        <v>1033</v>
      </c>
      <c r="AU168" s="10" t="s">
        <v>162</v>
      </c>
      <c r="AV168" s="10" t="s">
        <v>162</v>
      </c>
      <c r="AW168" s="10"/>
    </row>
    <row r="169" spans="1:49">
      <c r="A169" s="10" t="s">
        <v>1034</v>
      </c>
      <c r="B169" s="21" t="s">
        <v>162</v>
      </c>
      <c r="C169" s="10" t="s">
        <v>163</v>
      </c>
      <c r="D169" s="74">
        <v>45218</v>
      </c>
      <c r="E169" s="10" t="s">
        <v>1035</v>
      </c>
      <c r="F169" s="75" t="str">
        <f>VLOOKUP($E169,'Item Classification'!B:C,2,0)</f>
        <v>Communication equipment</v>
      </c>
      <c r="G169" s="10" t="str">
        <f>VLOOKUP($E169,'Item Classification'!B:D,3,0)</f>
        <v>Modernisation</v>
      </c>
      <c r="H169" s="76">
        <f>VLOOKUP($E169,'Item Classification'!B:E,4,0)</f>
        <v>13</v>
      </c>
      <c r="I169" s="81">
        <v>9058</v>
      </c>
      <c r="J169" s="182">
        <f>M169/I169</f>
        <v>5685.5818061382206</v>
      </c>
      <c r="K169" s="81">
        <v>2025</v>
      </c>
      <c r="L169" s="81">
        <v>2028</v>
      </c>
      <c r="M169" s="183">
        <v>51500000</v>
      </c>
      <c r="N169" s="10" t="s">
        <v>665</v>
      </c>
      <c r="O169" s="10" t="s">
        <v>162</v>
      </c>
      <c r="P169" s="10" t="s">
        <v>163</v>
      </c>
      <c r="Q169" s="77">
        <v>46</v>
      </c>
      <c r="R169" s="77">
        <v>0</v>
      </c>
      <c r="S169" s="77">
        <v>0</v>
      </c>
      <c r="T169" s="77">
        <v>0</v>
      </c>
      <c r="U169" s="77">
        <v>0</v>
      </c>
      <c r="V169" s="77">
        <v>0</v>
      </c>
      <c r="W169" s="77">
        <v>0</v>
      </c>
      <c r="X169" s="77">
        <v>0</v>
      </c>
      <c r="Y169" s="10" t="s">
        <v>162</v>
      </c>
      <c r="Z169" s="10" t="s">
        <v>218</v>
      </c>
      <c r="AA169" s="10" t="s">
        <v>162</v>
      </c>
      <c r="AB169" s="10" t="s">
        <v>162</v>
      </c>
      <c r="AC169" s="21" t="s">
        <v>162</v>
      </c>
      <c r="AD169" s="21" t="s">
        <v>162</v>
      </c>
      <c r="AE169" s="21" t="s">
        <v>162</v>
      </c>
      <c r="AF169" s="10" t="s">
        <v>162</v>
      </c>
      <c r="AG169" s="10" t="s">
        <v>162</v>
      </c>
      <c r="AH169" s="21" t="s">
        <v>162</v>
      </c>
      <c r="AI169" s="21" t="s">
        <v>162</v>
      </c>
      <c r="AJ169" s="21" t="s">
        <v>162</v>
      </c>
      <c r="AK169" s="21" t="s">
        <v>162</v>
      </c>
      <c r="AL169" s="21" t="s">
        <v>162</v>
      </c>
      <c r="AM169" s="21" t="s">
        <v>162</v>
      </c>
      <c r="AN169" s="21" t="s">
        <v>162</v>
      </c>
      <c r="AO169" s="10" t="s">
        <v>162</v>
      </c>
      <c r="AP169" s="21" t="s">
        <v>162</v>
      </c>
      <c r="AQ169" s="10" t="s">
        <v>1011</v>
      </c>
      <c r="AR169" s="10" t="s">
        <v>162</v>
      </c>
      <c r="AS169" s="10" t="s">
        <v>162</v>
      </c>
      <c r="AT169" s="10" t="s">
        <v>1036</v>
      </c>
      <c r="AU169" s="10" t="s">
        <v>162</v>
      </c>
      <c r="AV169" s="10" t="s">
        <v>162</v>
      </c>
      <c r="AW169" s="10"/>
    </row>
    <row r="170" spans="1:49">
      <c r="A170" s="10" t="s">
        <v>1037</v>
      </c>
      <c r="B170" s="21" t="s">
        <v>162</v>
      </c>
      <c r="C170" s="10" t="s">
        <v>163</v>
      </c>
      <c r="D170" s="74">
        <v>45238</v>
      </c>
      <c r="E170" s="10" t="s">
        <v>1038</v>
      </c>
      <c r="F170" s="75" t="str">
        <f>VLOOKUP($E170,'Item Classification'!B:C,2,0)</f>
        <v>Medium-altitude long-endurance (MALE) drone</v>
      </c>
      <c r="G170" s="10" t="str">
        <f>VLOOKUP($E170,'Item Classification'!B:D,3,0)</f>
        <v>Drone</v>
      </c>
      <c r="H170" s="76">
        <f>VLOOKUP($E170,'Item Classification'!B:E,4,0)</f>
        <v>7</v>
      </c>
      <c r="I170" s="81" t="s">
        <v>162</v>
      </c>
      <c r="J170" s="81" t="s">
        <v>162</v>
      </c>
      <c r="K170" s="81" t="s">
        <v>162</v>
      </c>
      <c r="L170" s="81" t="s">
        <v>162</v>
      </c>
      <c r="M170" s="183">
        <v>59000000</v>
      </c>
      <c r="N170" s="10" t="s">
        <v>165</v>
      </c>
      <c r="O170" s="10" t="s">
        <v>162</v>
      </c>
      <c r="P170" s="10" t="s">
        <v>163</v>
      </c>
      <c r="Q170" s="77">
        <v>47</v>
      </c>
      <c r="R170" s="77">
        <v>0</v>
      </c>
      <c r="S170" s="77">
        <v>0</v>
      </c>
      <c r="T170" s="77">
        <v>0</v>
      </c>
      <c r="U170" s="77">
        <v>0</v>
      </c>
      <c r="V170" s="77">
        <v>0</v>
      </c>
      <c r="W170" s="77">
        <v>0</v>
      </c>
      <c r="X170" s="77">
        <v>1</v>
      </c>
      <c r="Y170" s="83" t="s">
        <v>166</v>
      </c>
      <c r="Z170" s="10" t="s">
        <v>167</v>
      </c>
      <c r="AA170" s="10" t="s">
        <v>167</v>
      </c>
      <c r="AB170" s="10" t="s">
        <v>1039</v>
      </c>
      <c r="AC170" s="21" t="s">
        <v>162</v>
      </c>
      <c r="AD170" s="21" t="s">
        <v>162</v>
      </c>
      <c r="AE170" s="21" t="s">
        <v>162</v>
      </c>
      <c r="AF170" s="10" t="s">
        <v>163</v>
      </c>
      <c r="AG170" s="10" t="s">
        <v>162</v>
      </c>
      <c r="AH170" s="21" t="s">
        <v>162</v>
      </c>
      <c r="AI170" s="21" t="s">
        <v>162</v>
      </c>
      <c r="AJ170" s="21" t="s">
        <v>162</v>
      </c>
      <c r="AK170" s="21" t="s">
        <v>162</v>
      </c>
      <c r="AL170" s="21" t="s">
        <v>162</v>
      </c>
      <c r="AM170" s="21" t="s">
        <v>162</v>
      </c>
      <c r="AN170" s="21" t="s">
        <v>162</v>
      </c>
      <c r="AO170" s="21" t="s">
        <v>162</v>
      </c>
      <c r="AP170" s="21" t="s">
        <v>162</v>
      </c>
      <c r="AQ170" s="10" t="s">
        <v>1040</v>
      </c>
      <c r="AR170" s="10" t="s">
        <v>1041</v>
      </c>
      <c r="AS170" s="10" t="s">
        <v>162</v>
      </c>
      <c r="AT170" s="10" t="s">
        <v>1042</v>
      </c>
      <c r="AU170" s="10" t="s">
        <v>162</v>
      </c>
      <c r="AV170" s="10" t="s">
        <v>162</v>
      </c>
      <c r="AW170" s="10"/>
    </row>
    <row r="171" spans="1:49">
      <c r="A171" s="10" t="s">
        <v>1043</v>
      </c>
      <c r="B171" s="21" t="s">
        <v>162</v>
      </c>
      <c r="C171" s="10" t="s">
        <v>163</v>
      </c>
      <c r="D171" s="74">
        <v>45238</v>
      </c>
      <c r="E171" s="10" t="s">
        <v>1044</v>
      </c>
      <c r="F171" s="75" t="str">
        <f>VLOOKUP($E171,'Item Classification'!B:C,2,0)</f>
        <v>Military vehicle maintentance</v>
      </c>
      <c r="G171" s="10" t="str">
        <f>VLOOKUP($E171,'Item Classification'!B:D,3,0)</f>
        <v>Maintenance</v>
      </c>
      <c r="H171" s="76">
        <f>VLOOKUP($E171,'Item Classification'!B:E,4,0)</f>
        <v>14</v>
      </c>
      <c r="I171" s="81">
        <v>10</v>
      </c>
      <c r="J171" s="182">
        <f>M171/I171</f>
        <v>1340000000</v>
      </c>
      <c r="K171" s="81">
        <v>2024</v>
      </c>
      <c r="L171" s="81">
        <v>2034</v>
      </c>
      <c r="M171" s="183">
        <v>13400000000</v>
      </c>
      <c r="N171" s="10" t="s">
        <v>165</v>
      </c>
      <c r="O171" s="10" t="s">
        <v>162</v>
      </c>
      <c r="P171" s="10" t="s">
        <v>163</v>
      </c>
      <c r="Q171" s="77">
        <v>47</v>
      </c>
      <c r="R171" s="77">
        <v>1</v>
      </c>
      <c r="S171" s="77">
        <v>1</v>
      </c>
      <c r="T171" s="77">
        <v>0</v>
      </c>
      <c r="U171" s="77">
        <v>1</v>
      </c>
      <c r="V171" s="77">
        <v>0</v>
      </c>
      <c r="W171" s="77">
        <v>0</v>
      </c>
      <c r="X171" s="77">
        <v>0</v>
      </c>
      <c r="Y171" s="10" t="s">
        <v>1045</v>
      </c>
      <c r="Z171" s="10" t="s">
        <v>163</v>
      </c>
      <c r="AA171" s="10" t="s">
        <v>163</v>
      </c>
      <c r="AB171" s="10" t="s">
        <v>162</v>
      </c>
      <c r="AC171" s="21" t="s">
        <v>162</v>
      </c>
      <c r="AD171" s="21" t="s">
        <v>162</v>
      </c>
      <c r="AE171" s="21" t="s">
        <v>162</v>
      </c>
      <c r="AF171" s="10" t="s">
        <v>162</v>
      </c>
      <c r="AG171" s="10" t="s">
        <v>162</v>
      </c>
      <c r="AH171" s="21" t="s">
        <v>162</v>
      </c>
      <c r="AI171" s="21" t="s">
        <v>162</v>
      </c>
      <c r="AJ171" s="21" t="s">
        <v>162</v>
      </c>
      <c r="AK171" s="21" t="s">
        <v>162</v>
      </c>
      <c r="AL171" s="21" t="s">
        <v>162</v>
      </c>
      <c r="AM171" s="21" t="s">
        <v>162</v>
      </c>
      <c r="AN171" s="21" t="s">
        <v>162</v>
      </c>
      <c r="AO171" s="21" t="s">
        <v>162</v>
      </c>
      <c r="AP171" s="21" t="s">
        <v>162</v>
      </c>
      <c r="AQ171" s="10" t="s">
        <v>1040</v>
      </c>
      <c r="AR171" s="10"/>
      <c r="AS171" s="10" t="s">
        <v>162</v>
      </c>
      <c r="AT171" s="10" t="s">
        <v>1046</v>
      </c>
      <c r="AU171" s="10" t="s">
        <v>162</v>
      </c>
      <c r="AV171" s="10" t="s">
        <v>162</v>
      </c>
      <c r="AW171" s="10"/>
    </row>
    <row r="172" spans="1:49">
      <c r="A172" s="10" t="s">
        <v>1047</v>
      </c>
      <c r="B172" s="21" t="s">
        <v>162</v>
      </c>
      <c r="C172" s="10" t="s">
        <v>163</v>
      </c>
      <c r="D172" s="74">
        <v>45246</v>
      </c>
      <c r="E172" s="10" t="s">
        <v>1048</v>
      </c>
      <c r="F172" s="75" t="str">
        <f>VLOOKUP($E172,'Item Classification'!B:C,2,0)</f>
        <v>Infantry mobility vehicle</v>
      </c>
      <c r="G172" s="10" t="str">
        <f>VLOOKUP($E172,'Item Classification'!B:D,3,0)</f>
        <v>Armoured vehicle</v>
      </c>
      <c r="H172" s="76">
        <f>VLOOKUP($E172,'Item Classification'!B:E,4,0)</f>
        <v>2</v>
      </c>
      <c r="I172" s="81">
        <v>50</v>
      </c>
      <c r="J172" s="182">
        <f>M172/I172</f>
        <v>3000000</v>
      </c>
      <c r="K172" s="81">
        <v>2026</v>
      </c>
      <c r="L172" s="81" t="s">
        <v>162</v>
      </c>
      <c r="M172" s="183">
        <v>150000000</v>
      </c>
      <c r="N172" s="10" t="s">
        <v>784</v>
      </c>
      <c r="O172" s="10" t="s">
        <v>162</v>
      </c>
      <c r="P172" s="10" t="s">
        <v>163</v>
      </c>
      <c r="Q172" s="77">
        <v>47</v>
      </c>
      <c r="R172" s="77">
        <v>0</v>
      </c>
      <c r="S172" s="77">
        <v>0</v>
      </c>
      <c r="T172" s="77">
        <v>0</v>
      </c>
      <c r="U172" s="77">
        <v>1</v>
      </c>
      <c r="V172" s="77">
        <v>0</v>
      </c>
      <c r="W172" s="77">
        <v>0</v>
      </c>
      <c r="X172" s="77">
        <v>0</v>
      </c>
      <c r="Y172" s="83" t="s">
        <v>485</v>
      </c>
      <c r="Z172" s="21" t="s">
        <v>163</v>
      </c>
      <c r="AA172" s="10" t="s">
        <v>162</v>
      </c>
      <c r="AB172" s="10" t="s">
        <v>162</v>
      </c>
      <c r="AC172" s="21" t="s">
        <v>162</v>
      </c>
      <c r="AD172" s="21" t="s">
        <v>162</v>
      </c>
      <c r="AE172" s="21" t="s">
        <v>162</v>
      </c>
      <c r="AF172" s="10" t="s">
        <v>162</v>
      </c>
      <c r="AG172" s="10" t="s">
        <v>162</v>
      </c>
      <c r="AH172" s="21" t="s">
        <v>162</v>
      </c>
      <c r="AI172" s="21" t="s">
        <v>162</v>
      </c>
      <c r="AJ172" s="21" t="s">
        <v>162</v>
      </c>
      <c r="AK172" s="21" t="s">
        <v>162</v>
      </c>
      <c r="AL172" s="21" t="s">
        <v>162</v>
      </c>
      <c r="AM172" s="21" t="s">
        <v>162</v>
      </c>
      <c r="AN172" s="21" t="s">
        <v>162</v>
      </c>
      <c r="AO172" s="21" t="s">
        <v>162</v>
      </c>
      <c r="AP172" s="21" t="s">
        <v>162</v>
      </c>
      <c r="AQ172" s="10" t="s">
        <v>1049</v>
      </c>
      <c r="AR172" s="10" t="s">
        <v>1050</v>
      </c>
      <c r="AS172" s="10" t="s">
        <v>1051</v>
      </c>
      <c r="AT172" s="10" t="s">
        <v>1052</v>
      </c>
      <c r="AU172" s="10" t="s">
        <v>1053</v>
      </c>
      <c r="AV172" s="10" t="s">
        <v>162</v>
      </c>
      <c r="AW172" s="10"/>
    </row>
    <row r="173" spans="1:49">
      <c r="A173" s="10" t="s">
        <v>1054</v>
      </c>
      <c r="B173" s="21" t="s">
        <v>415</v>
      </c>
      <c r="C173" s="10" t="s">
        <v>163</v>
      </c>
      <c r="D173" s="74">
        <v>45246</v>
      </c>
      <c r="E173" s="10" t="s">
        <v>416</v>
      </c>
      <c r="F173" s="75" t="str">
        <f>VLOOKUP($E173,'Item Classification'!B:C,2,0)</f>
        <v>Maritime reconnaissance patrol aircraft</v>
      </c>
      <c r="G173" s="10" t="str">
        <f>VLOOKUP($E173,'Item Classification'!B:D,3,0)</f>
        <v>Naval</v>
      </c>
      <c r="H173" s="76">
        <f>VLOOKUP($E173,'Item Classification'!B:E,4,0)</f>
        <v>12</v>
      </c>
      <c r="I173" s="81">
        <v>3</v>
      </c>
      <c r="J173" s="182">
        <f>M173/I173</f>
        <v>366666666.66666669</v>
      </c>
      <c r="K173" s="81">
        <v>2024</v>
      </c>
      <c r="L173" s="81" t="s">
        <v>162</v>
      </c>
      <c r="M173" s="183">
        <v>1100000000</v>
      </c>
      <c r="N173" s="10" t="s">
        <v>665</v>
      </c>
      <c r="O173" s="10" t="s">
        <v>162</v>
      </c>
      <c r="P173" s="10" t="s">
        <v>163</v>
      </c>
      <c r="Q173" s="77">
        <v>47</v>
      </c>
      <c r="R173" s="77">
        <v>0</v>
      </c>
      <c r="S173" s="77">
        <v>0</v>
      </c>
      <c r="T173" s="77">
        <v>1</v>
      </c>
      <c r="U173" s="77">
        <v>0</v>
      </c>
      <c r="V173" s="77">
        <v>0</v>
      </c>
      <c r="W173" s="77">
        <v>0</v>
      </c>
      <c r="X173" s="77">
        <v>0</v>
      </c>
      <c r="Y173" s="10" t="s">
        <v>214</v>
      </c>
      <c r="Z173" s="10" t="s">
        <v>218</v>
      </c>
      <c r="AA173" s="10" t="s">
        <v>218</v>
      </c>
      <c r="AB173" s="10" t="s">
        <v>162</v>
      </c>
      <c r="AC173" s="21" t="s">
        <v>162</v>
      </c>
      <c r="AD173" s="21" t="s">
        <v>162</v>
      </c>
      <c r="AE173" s="21" t="s">
        <v>162</v>
      </c>
      <c r="AF173" s="10" t="s">
        <v>162</v>
      </c>
      <c r="AG173" s="10" t="s">
        <v>162</v>
      </c>
      <c r="AH173" s="21" t="s">
        <v>162</v>
      </c>
      <c r="AI173" s="21" t="s">
        <v>162</v>
      </c>
      <c r="AJ173" s="21" t="s">
        <v>162</v>
      </c>
      <c r="AK173" s="21" t="s">
        <v>162</v>
      </c>
      <c r="AL173" s="21" t="s">
        <v>162</v>
      </c>
      <c r="AM173" s="21" t="s">
        <v>162</v>
      </c>
      <c r="AN173" s="21" t="s">
        <v>162</v>
      </c>
      <c r="AO173" s="21" t="s">
        <v>162</v>
      </c>
      <c r="AP173" s="21" t="s">
        <v>162</v>
      </c>
      <c r="AQ173" s="10" t="s">
        <v>1049</v>
      </c>
      <c r="AR173" s="10" t="s">
        <v>1055</v>
      </c>
      <c r="AS173" s="10" t="s">
        <v>1056</v>
      </c>
      <c r="AT173" s="10" t="s">
        <v>1057</v>
      </c>
      <c r="AU173" s="10" t="s">
        <v>1058</v>
      </c>
      <c r="AV173" s="10" t="s">
        <v>162</v>
      </c>
      <c r="AW173" s="10"/>
    </row>
    <row r="174" spans="1:49">
      <c r="A174" s="10" t="s">
        <v>1059</v>
      </c>
      <c r="B174" s="21" t="s">
        <v>162</v>
      </c>
      <c r="C174" s="10" t="s">
        <v>163</v>
      </c>
      <c r="D174" s="74">
        <v>45260</v>
      </c>
      <c r="E174" s="10" t="s">
        <v>1060</v>
      </c>
      <c r="F174" s="75" t="str">
        <f>VLOOKUP($E174,'Item Classification'!B:C,2,0)</f>
        <v>Infrared decoy target</v>
      </c>
      <c r="G174" s="10" t="str">
        <f>VLOOKUP($E174,'Item Classification'!B:D,3,0)</f>
        <v>Aircraft</v>
      </c>
      <c r="H174" s="76" t="str">
        <f>VLOOKUP($E174,'Item Classification'!B:E,4,0)</f>
        <v>11</v>
      </c>
      <c r="I174" s="81">
        <v>476280</v>
      </c>
      <c r="J174" s="182">
        <f>M174/I174</f>
        <v>103.51054001847653</v>
      </c>
      <c r="K174" s="81">
        <v>2024</v>
      </c>
      <c r="L174" s="81">
        <v>2029</v>
      </c>
      <c r="M174" s="183">
        <v>49300000</v>
      </c>
      <c r="N174" s="10" t="s">
        <v>165</v>
      </c>
      <c r="O174" s="10" t="s">
        <v>162</v>
      </c>
      <c r="P174" s="10" t="s">
        <v>163</v>
      </c>
      <c r="Q174" s="77">
        <v>47</v>
      </c>
      <c r="R174" s="77">
        <v>1</v>
      </c>
      <c r="S174" s="77">
        <v>0</v>
      </c>
      <c r="T174" s="77">
        <v>0</v>
      </c>
      <c r="U174" s="77">
        <v>1</v>
      </c>
      <c r="V174" s="77">
        <v>0</v>
      </c>
      <c r="W174" s="77">
        <v>0</v>
      </c>
      <c r="X174" s="77">
        <v>0</v>
      </c>
      <c r="Y174" s="10" t="s">
        <v>268</v>
      </c>
      <c r="Z174" s="21" t="s">
        <v>163</v>
      </c>
      <c r="AA174" s="21" t="s">
        <v>163</v>
      </c>
      <c r="AB174" s="10" t="s">
        <v>162</v>
      </c>
      <c r="AC174" s="21" t="s">
        <v>162</v>
      </c>
      <c r="AD174" s="21" t="s">
        <v>162</v>
      </c>
      <c r="AE174" s="21" t="s">
        <v>162</v>
      </c>
      <c r="AF174" s="10" t="s">
        <v>162</v>
      </c>
      <c r="AG174" s="10" t="s">
        <v>162</v>
      </c>
      <c r="AH174" s="21" t="s">
        <v>162</v>
      </c>
      <c r="AI174" s="21" t="s">
        <v>162</v>
      </c>
      <c r="AJ174" s="21" t="s">
        <v>162</v>
      </c>
      <c r="AK174" s="21" t="s">
        <v>162</v>
      </c>
      <c r="AL174" s="21" t="s">
        <v>162</v>
      </c>
      <c r="AM174" s="21" t="s">
        <v>162</v>
      </c>
      <c r="AN174" s="21" t="s">
        <v>162</v>
      </c>
      <c r="AO174" s="21" t="s">
        <v>162</v>
      </c>
      <c r="AP174" s="21" t="s">
        <v>162</v>
      </c>
      <c r="AQ174" s="10" t="s">
        <v>1061</v>
      </c>
      <c r="AR174" s="10" t="s">
        <v>1062</v>
      </c>
      <c r="AS174" s="10" t="s">
        <v>1063</v>
      </c>
      <c r="AT174" s="10" t="s">
        <v>1064</v>
      </c>
      <c r="AU174" s="10" t="s">
        <v>1065</v>
      </c>
      <c r="AV174" s="10" t="s">
        <v>162</v>
      </c>
      <c r="AW174" s="10"/>
    </row>
    <row r="175" spans="1:49">
      <c r="A175" s="10" t="s">
        <v>1066</v>
      </c>
      <c r="B175" s="21" t="s">
        <v>162</v>
      </c>
      <c r="C175" s="10" t="s">
        <v>163</v>
      </c>
      <c r="D175" s="74">
        <v>45260</v>
      </c>
      <c r="E175" s="79" t="s">
        <v>162</v>
      </c>
      <c r="F175" s="75" t="s">
        <v>1067</v>
      </c>
      <c r="G175" s="10" t="s">
        <v>1068</v>
      </c>
      <c r="H175" s="76">
        <v>1</v>
      </c>
      <c r="I175" s="81" t="s">
        <v>162</v>
      </c>
      <c r="J175" s="81" t="s">
        <v>162</v>
      </c>
      <c r="K175" s="81" t="s">
        <v>162</v>
      </c>
      <c r="L175" s="81" t="s">
        <v>162</v>
      </c>
      <c r="M175" s="183">
        <v>192000000</v>
      </c>
      <c r="N175" s="10" t="s">
        <v>665</v>
      </c>
      <c r="O175" s="10" t="s">
        <v>162</v>
      </c>
      <c r="P175" s="10" t="s">
        <v>163</v>
      </c>
      <c r="Q175" s="77">
        <v>47</v>
      </c>
      <c r="R175" s="77">
        <v>1</v>
      </c>
      <c r="S175" s="77">
        <v>0</v>
      </c>
      <c r="T175" s="77">
        <v>0</v>
      </c>
      <c r="U175" s="77">
        <v>1</v>
      </c>
      <c r="V175" s="77">
        <v>0</v>
      </c>
      <c r="W175" s="77">
        <v>0</v>
      </c>
      <c r="X175" s="77">
        <v>0</v>
      </c>
      <c r="Y175" s="83" t="s">
        <v>485</v>
      </c>
      <c r="Z175" s="21" t="s">
        <v>163</v>
      </c>
      <c r="AA175" s="21" t="s">
        <v>162</v>
      </c>
      <c r="AB175" s="21" t="s">
        <v>162</v>
      </c>
      <c r="AC175" s="21" t="s">
        <v>162</v>
      </c>
      <c r="AD175" s="21" t="s">
        <v>162</v>
      </c>
      <c r="AE175" s="21" t="s">
        <v>162</v>
      </c>
      <c r="AF175" s="21" t="s">
        <v>162</v>
      </c>
      <c r="AG175" s="21" t="s">
        <v>162</v>
      </c>
      <c r="AH175" s="21" t="s">
        <v>162</v>
      </c>
      <c r="AI175" s="21" t="s">
        <v>162</v>
      </c>
      <c r="AJ175" s="21" t="s">
        <v>162</v>
      </c>
      <c r="AK175" s="21" t="s">
        <v>162</v>
      </c>
      <c r="AL175" s="21" t="s">
        <v>162</v>
      </c>
      <c r="AM175" s="21" t="s">
        <v>162</v>
      </c>
      <c r="AN175" s="21" t="s">
        <v>162</v>
      </c>
      <c r="AO175" s="21" t="s">
        <v>162</v>
      </c>
      <c r="AP175" s="21" t="s">
        <v>162</v>
      </c>
      <c r="AQ175" s="10" t="s">
        <v>1061</v>
      </c>
      <c r="AR175" s="10" t="s">
        <v>1063</v>
      </c>
      <c r="AS175" s="10" t="s">
        <v>162</v>
      </c>
      <c r="AT175" s="10" t="s">
        <v>1069</v>
      </c>
      <c r="AU175" s="10" t="s">
        <v>1070</v>
      </c>
      <c r="AV175" s="10" t="s">
        <v>162</v>
      </c>
      <c r="AW175" s="10"/>
    </row>
    <row r="176" spans="1:49">
      <c r="A176" s="10" t="s">
        <v>1071</v>
      </c>
      <c r="B176" s="21" t="s">
        <v>162</v>
      </c>
      <c r="C176" s="10" t="s">
        <v>163</v>
      </c>
      <c r="D176" s="74">
        <v>45260</v>
      </c>
      <c r="E176" s="10" t="s">
        <v>1072</v>
      </c>
      <c r="F176" s="75" t="str">
        <f>VLOOKUP($E176,'Item Classification'!B:C,2,0)</f>
        <v>Main Battle Tank (MBT) (training)</v>
      </c>
      <c r="G176" s="10" t="str">
        <f>VLOOKUP($E176,'Item Classification'!B:D,3,0)</f>
        <v>Tank</v>
      </c>
      <c r="H176" s="76">
        <f>VLOOKUP($E176,'Item Classification'!B:E,4,0)</f>
        <v>1</v>
      </c>
      <c r="I176" s="81">
        <v>16</v>
      </c>
      <c r="J176" s="81" t="s">
        <v>162</v>
      </c>
      <c r="K176" s="81">
        <v>2026</v>
      </c>
      <c r="L176" s="81">
        <v>2029</v>
      </c>
      <c r="M176" s="81" t="s">
        <v>162</v>
      </c>
      <c r="N176" s="10" t="s">
        <v>665</v>
      </c>
      <c r="O176" s="10" t="s">
        <v>162</v>
      </c>
      <c r="P176" s="10" t="s">
        <v>163</v>
      </c>
      <c r="Q176" s="77">
        <v>47</v>
      </c>
      <c r="R176" s="77">
        <v>1</v>
      </c>
      <c r="S176" s="77">
        <v>0</v>
      </c>
      <c r="T176" s="77">
        <v>0</v>
      </c>
      <c r="U176" s="77">
        <v>1</v>
      </c>
      <c r="V176" s="77">
        <v>0</v>
      </c>
      <c r="W176" s="77">
        <v>0</v>
      </c>
      <c r="X176" s="77">
        <v>0</v>
      </c>
      <c r="Y176" s="83" t="s">
        <v>485</v>
      </c>
      <c r="Z176" s="21" t="s">
        <v>163</v>
      </c>
      <c r="AA176" s="21" t="s">
        <v>162</v>
      </c>
      <c r="AB176" s="10" t="s">
        <v>162</v>
      </c>
      <c r="AC176" s="21" t="s">
        <v>162</v>
      </c>
      <c r="AD176" s="21" t="s">
        <v>162</v>
      </c>
      <c r="AE176" s="21" t="s">
        <v>162</v>
      </c>
      <c r="AF176" s="10" t="s">
        <v>162</v>
      </c>
      <c r="AG176" s="10" t="s">
        <v>162</v>
      </c>
      <c r="AH176" s="21" t="s">
        <v>162</v>
      </c>
      <c r="AI176" s="21" t="s">
        <v>162</v>
      </c>
      <c r="AJ176" s="21" t="s">
        <v>162</v>
      </c>
      <c r="AK176" s="21" t="s">
        <v>162</v>
      </c>
      <c r="AL176" s="21" t="s">
        <v>162</v>
      </c>
      <c r="AM176" s="21" t="s">
        <v>162</v>
      </c>
      <c r="AN176" s="21" t="s">
        <v>162</v>
      </c>
      <c r="AO176" s="21" t="s">
        <v>162</v>
      </c>
      <c r="AP176" s="21" t="s">
        <v>162</v>
      </c>
      <c r="AQ176" s="10" t="s">
        <v>1061</v>
      </c>
      <c r="AR176" s="10" t="s">
        <v>1063</v>
      </c>
      <c r="AS176" s="10" t="s">
        <v>162</v>
      </c>
      <c r="AT176" s="10" t="s">
        <v>1069</v>
      </c>
      <c r="AU176" s="10" t="s">
        <v>1070</v>
      </c>
      <c r="AV176" s="10" t="s">
        <v>162</v>
      </c>
      <c r="AW176" s="10"/>
    </row>
    <row r="177" spans="1:49">
      <c r="A177" s="10" t="s">
        <v>1073</v>
      </c>
      <c r="B177" s="21" t="s">
        <v>162</v>
      </c>
      <c r="C177" s="84" t="s">
        <v>163</v>
      </c>
      <c r="D177" s="74">
        <v>45260</v>
      </c>
      <c r="E177" s="10" t="s">
        <v>1074</v>
      </c>
      <c r="F177" s="75" t="str">
        <f>VLOOKUP($E177,'Item Classification'!B:C,2,0)</f>
        <v>Main Battle Tank (MBT) (training)</v>
      </c>
      <c r="G177" s="10" t="str">
        <f>VLOOKUP($E177,'Item Classification'!B:D,3,0)</f>
        <v>Tank</v>
      </c>
      <c r="H177" s="76">
        <f>VLOOKUP($E177,'Item Classification'!B:E,4,0)</f>
        <v>1</v>
      </c>
      <c r="I177" s="81">
        <v>8</v>
      </c>
      <c r="J177" s="81" t="s">
        <v>162</v>
      </c>
      <c r="K177" s="81">
        <v>2026</v>
      </c>
      <c r="L177" s="81">
        <v>2029</v>
      </c>
      <c r="M177" s="81" t="s">
        <v>162</v>
      </c>
      <c r="N177" s="10" t="s">
        <v>665</v>
      </c>
      <c r="O177" s="10" t="s">
        <v>162</v>
      </c>
      <c r="P177" s="10" t="s">
        <v>163</v>
      </c>
      <c r="Q177" s="77">
        <v>47</v>
      </c>
      <c r="R177" s="77">
        <v>1</v>
      </c>
      <c r="S177" s="77">
        <v>0</v>
      </c>
      <c r="T177" s="77">
        <v>0</v>
      </c>
      <c r="U177" s="77">
        <v>1</v>
      </c>
      <c r="V177" s="77">
        <v>0</v>
      </c>
      <c r="W177" s="77">
        <v>0</v>
      </c>
      <c r="X177" s="77">
        <v>0</v>
      </c>
      <c r="Y177" s="83" t="s">
        <v>485</v>
      </c>
      <c r="Z177" s="21" t="s">
        <v>163</v>
      </c>
      <c r="AA177" s="10" t="s">
        <v>162</v>
      </c>
      <c r="AB177" s="10" t="s">
        <v>162</v>
      </c>
      <c r="AC177" s="21" t="s">
        <v>162</v>
      </c>
      <c r="AD177" s="21" t="s">
        <v>162</v>
      </c>
      <c r="AE177" s="21" t="s">
        <v>162</v>
      </c>
      <c r="AF177" s="10" t="s">
        <v>162</v>
      </c>
      <c r="AG177" s="10" t="s">
        <v>162</v>
      </c>
      <c r="AH177" s="21" t="s">
        <v>162</v>
      </c>
      <c r="AI177" s="21" t="s">
        <v>162</v>
      </c>
      <c r="AJ177" s="21" t="s">
        <v>162</v>
      </c>
      <c r="AK177" s="21" t="s">
        <v>162</v>
      </c>
      <c r="AL177" s="21" t="s">
        <v>162</v>
      </c>
      <c r="AM177" s="21" t="s">
        <v>162</v>
      </c>
      <c r="AN177" s="21" t="s">
        <v>162</v>
      </c>
      <c r="AO177" s="21" t="s">
        <v>162</v>
      </c>
      <c r="AP177" s="21" t="s">
        <v>162</v>
      </c>
      <c r="AQ177" s="10" t="s">
        <v>1061</v>
      </c>
      <c r="AR177" s="10" t="s">
        <v>1063</v>
      </c>
      <c r="AS177" s="10" t="s">
        <v>162</v>
      </c>
      <c r="AT177" s="10" t="s">
        <v>1069</v>
      </c>
      <c r="AU177" s="10" t="s">
        <v>1070</v>
      </c>
      <c r="AV177" s="10" t="s">
        <v>162</v>
      </c>
      <c r="AW177" s="10"/>
    </row>
    <row r="178" spans="1:49">
      <c r="A178" s="10" t="s">
        <v>1075</v>
      </c>
      <c r="B178" s="10" t="s">
        <v>1076</v>
      </c>
      <c r="C178" s="10" t="s">
        <v>163</v>
      </c>
      <c r="D178" s="74">
        <v>45274</v>
      </c>
      <c r="E178" s="10" t="s">
        <v>1077</v>
      </c>
      <c r="F178" s="75" t="str">
        <f>VLOOKUP($E178,'Item Classification'!B:C,2,0)</f>
        <v>155mm howitzer ammunition</v>
      </c>
      <c r="G178" s="10" t="str">
        <f>VLOOKUP($E178,'Item Classification'!B:D,3,0)</f>
        <v>Ammunition</v>
      </c>
      <c r="H178" s="76">
        <f>VLOOKUP($E178,'Item Classification'!B:E,4,0)</f>
        <v>4</v>
      </c>
      <c r="I178" s="81">
        <v>68000</v>
      </c>
      <c r="J178" s="182">
        <f t="shared" ref="J178:J185" si="1">M178/I178</f>
        <v>4088.2352941176468</v>
      </c>
      <c r="K178" s="81" t="s">
        <v>162</v>
      </c>
      <c r="L178" s="81" t="s">
        <v>162</v>
      </c>
      <c r="M178" s="184">
        <v>278000000</v>
      </c>
      <c r="N178" s="10" t="s">
        <v>784</v>
      </c>
      <c r="O178" s="10" t="s">
        <v>162</v>
      </c>
      <c r="P178" s="10" t="s">
        <v>785</v>
      </c>
      <c r="Q178" s="77">
        <v>48</v>
      </c>
      <c r="R178" s="77">
        <v>1</v>
      </c>
      <c r="S178" s="77">
        <v>0</v>
      </c>
      <c r="T178" s="77">
        <v>0</v>
      </c>
      <c r="U178" s="77">
        <v>1</v>
      </c>
      <c r="V178" s="77">
        <v>0</v>
      </c>
      <c r="W178" s="77">
        <v>0</v>
      </c>
      <c r="X178" s="77">
        <v>0</v>
      </c>
      <c r="Y178" s="10" t="s">
        <v>1078</v>
      </c>
      <c r="Z178" s="10" t="s">
        <v>181</v>
      </c>
      <c r="AA178" s="21" t="s">
        <v>162</v>
      </c>
      <c r="AB178" s="10" t="s">
        <v>162</v>
      </c>
      <c r="AC178" s="21" t="s">
        <v>162</v>
      </c>
      <c r="AD178" s="21" t="s">
        <v>162</v>
      </c>
      <c r="AE178" s="21" t="s">
        <v>162</v>
      </c>
      <c r="AF178" s="10" t="s">
        <v>162</v>
      </c>
      <c r="AG178" s="10" t="s">
        <v>162</v>
      </c>
      <c r="AH178" s="21" t="s">
        <v>162</v>
      </c>
      <c r="AI178" s="21" t="s">
        <v>162</v>
      </c>
      <c r="AJ178" s="21" t="s">
        <v>162</v>
      </c>
      <c r="AK178" s="21" t="s">
        <v>162</v>
      </c>
      <c r="AL178" s="21" t="s">
        <v>162</v>
      </c>
      <c r="AM178" s="21" t="s">
        <v>162</v>
      </c>
      <c r="AN178" s="21" t="s">
        <v>162</v>
      </c>
      <c r="AO178" s="21" t="s">
        <v>162</v>
      </c>
      <c r="AP178" s="21" t="s">
        <v>162</v>
      </c>
      <c r="AQ178" s="10" t="s">
        <v>1079</v>
      </c>
      <c r="AR178" s="10" t="s">
        <v>1055</v>
      </c>
      <c r="AS178" s="10" t="s">
        <v>1080</v>
      </c>
      <c r="AT178" s="10" t="s">
        <v>1081</v>
      </c>
      <c r="AU178" s="10" t="s">
        <v>1082</v>
      </c>
      <c r="AV178" s="10" t="s">
        <v>162</v>
      </c>
      <c r="AW178" s="10"/>
    </row>
    <row r="179" spans="1:49">
      <c r="A179" s="10" t="s">
        <v>1083</v>
      </c>
      <c r="B179" s="21" t="s">
        <v>162</v>
      </c>
      <c r="C179" s="10" t="s">
        <v>163</v>
      </c>
      <c r="D179" s="74">
        <v>45274</v>
      </c>
      <c r="E179" s="10" t="s">
        <v>1084</v>
      </c>
      <c r="F179" s="75" t="str">
        <f>VLOOKUP($E179,'Item Classification'!B:C,2,0)</f>
        <v>Light attack helicopter</v>
      </c>
      <c r="G179" s="10" t="str">
        <f>VLOOKUP($E179,'Item Classification'!B:D,3,0)</f>
        <v>Helicopter</v>
      </c>
      <c r="H179" s="76">
        <f>VLOOKUP($E179,'Item Classification'!B:E,4,0)</f>
        <v>10</v>
      </c>
      <c r="I179" s="81">
        <v>62</v>
      </c>
      <c r="J179" s="182">
        <f t="shared" si="1"/>
        <v>42419354.838709675</v>
      </c>
      <c r="K179" s="81">
        <v>2024</v>
      </c>
      <c r="L179" s="81">
        <v>2028</v>
      </c>
      <c r="M179" s="183">
        <v>2630000000</v>
      </c>
      <c r="N179" s="10" t="s">
        <v>665</v>
      </c>
      <c r="O179" s="10" t="s">
        <v>165</v>
      </c>
      <c r="P179" s="10" t="s">
        <v>163</v>
      </c>
      <c r="Q179" s="77">
        <v>48</v>
      </c>
      <c r="R179" s="77">
        <v>1</v>
      </c>
      <c r="S179" s="77">
        <v>0</v>
      </c>
      <c r="T179" s="77">
        <v>0</v>
      </c>
      <c r="U179" s="77">
        <v>1</v>
      </c>
      <c r="V179" s="77">
        <v>1</v>
      </c>
      <c r="W179" s="77">
        <v>0</v>
      </c>
      <c r="X179" s="77">
        <v>1</v>
      </c>
      <c r="Y179" s="10" t="s">
        <v>278</v>
      </c>
      <c r="Z179" s="21" t="s">
        <v>163</v>
      </c>
      <c r="AA179" s="21" t="s">
        <v>162</v>
      </c>
      <c r="AB179" s="10" t="s">
        <v>162</v>
      </c>
      <c r="AC179" s="21" t="s">
        <v>162</v>
      </c>
      <c r="AD179" s="21" t="s">
        <v>162</v>
      </c>
      <c r="AE179" s="21" t="s">
        <v>162</v>
      </c>
      <c r="AF179" s="10" t="s">
        <v>181</v>
      </c>
      <c r="AG179" s="10" t="s">
        <v>162</v>
      </c>
      <c r="AH179" s="21" t="s">
        <v>162</v>
      </c>
      <c r="AI179" s="21" t="s">
        <v>162</v>
      </c>
      <c r="AJ179" s="21" t="s">
        <v>162</v>
      </c>
      <c r="AK179" s="21" t="s">
        <v>162</v>
      </c>
      <c r="AL179" s="21" t="s">
        <v>162</v>
      </c>
      <c r="AM179" s="21" t="s">
        <v>162</v>
      </c>
      <c r="AN179" s="21" t="s">
        <v>162</v>
      </c>
      <c r="AO179" s="21" t="s">
        <v>162</v>
      </c>
      <c r="AP179" s="21" t="s">
        <v>162</v>
      </c>
      <c r="AQ179" s="10" t="s">
        <v>1085</v>
      </c>
      <c r="AR179" s="10" t="s">
        <v>1086</v>
      </c>
      <c r="AS179" s="10" t="s">
        <v>1087</v>
      </c>
      <c r="AT179" s="10" t="s">
        <v>1088</v>
      </c>
      <c r="AU179" s="10" t="s">
        <v>1089</v>
      </c>
      <c r="AV179" s="10" t="s">
        <v>1090</v>
      </c>
      <c r="AW179" s="10" t="s">
        <v>162</v>
      </c>
    </row>
    <row r="180" spans="1:49">
      <c r="A180" s="10" t="s">
        <v>1091</v>
      </c>
      <c r="B180" s="10" t="s">
        <v>751</v>
      </c>
      <c r="C180" s="10" t="s">
        <v>163</v>
      </c>
      <c r="D180" s="74">
        <v>45274</v>
      </c>
      <c r="E180" s="10" t="s">
        <v>1092</v>
      </c>
      <c r="F180" s="75" t="str">
        <f>VLOOKUP($E180,'Item Classification'!B:C,2,0)</f>
        <v>All-terrain vehicle equipment</v>
      </c>
      <c r="G180" s="10" t="str">
        <f>VLOOKUP($E180,'Item Classification'!B:D,3,0)</f>
        <v>Armoured vehicle</v>
      </c>
      <c r="H180" s="76">
        <f>VLOOKUP($E180,'Item Classification'!B:E,4,0)</f>
        <v>2</v>
      </c>
      <c r="I180" s="81">
        <v>367</v>
      </c>
      <c r="J180" s="182">
        <f t="shared" si="1"/>
        <v>174386.92098092643</v>
      </c>
      <c r="K180" s="81" t="s">
        <v>162</v>
      </c>
      <c r="L180" s="81" t="s">
        <v>162</v>
      </c>
      <c r="M180" s="183">
        <v>64000000</v>
      </c>
      <c r="N180" s="10" t="s">
        <v>665</v>
      </c>
      <c r="O180" s="10" t="s">
        <v>162</v>
      </c>
      <c r="P180" s="10" t="s">
        <v>163</v>
      </c>
      <c r="Q180" s="77">
        <v>48</v>
      </c>
      <c r="R180" s="77">
        <v>0</v>
      </c>
      <c r="S180" s="77">
        <v>0</v>
      </c>
      <c r="T180" s="77">
        <v>0</v>
      </c>
      <c r="U180" s="77">
        <v>1</v>
      </c>
      <c r="V180" s="77">
        <v>1</v>
      </c>
      <c r="W180" s="77">
        <v>0</v>
      </c>
      <c r="X180" s="77">
        <v>1</v>
      </c>
      <c r="Y180" s="10" t="s">
        <v>753</v>
      </c>
      <c r="Z180" s="21" t="s">
        <v>163</v>
      </c>
      <c r="AA180" s="21" t="s">
        <v>232</v>
      </c>
      <c r="AB180" s="10" t="s">
        <v>162</v>
      </c>
      <c r="AC180" s="21" t="s">
        <v>162</v>
      </c>
      <c r="AD180" s="21" t="s">
        <v>162</v>
      </c>
      <c r="AE180" s="21" t="s">
        <v>162</v>
      </c>
      <c r="AF180" s="10" t="s">
        <v>232</v>
      </c>
      <c r="AG180" s="10" t="s">
        <v>689</v>
      </c>
      <c r="AH180" s="21" t="s">
        <v>162</v>
      </c>
      <c r="AI180" s="21" t="s">
        <v>162</v>
      </c>
      <c r="AJ180" s="21" t="s">
        <v>162</v>
      </c>
      <c r="AK180" s="21" t="s">
        <v>162</v>
      </c>
      <c r="AL180" s="21" t="s">
        <v>162</v>
      </c>
      <c r="AM180" s="21" t="s">
        <v>162</v>
      </c>
      <c r="AN180" s="21" t="s">
        <v>162</v>
      </c>
      <c r="AO180" s="21" t="s">
        <v>162</v>
      </c>
      <c r="AP180" s="21" t="s">
        <v>162</v>
      </c>
      <c r="AQ180" s="10" t="s">
        <v>1085</v>
      </c>
      <c r="AR180" s="10" t="s">
        <v>1093</v>
      </c>
      <c r="AS180" s="10" t="s">
        <v>1094</v>
      </c>
      <c r="AT180" s="10" t="s">
        <v>1095</v>
      </c>
      <c r="AU180" s="10" t="s">
        <v>162</v>
      </c>
      <c r="AV180" s="10" t="s">
        <v>162</v>
      </c>
      <c r="AW180" s="10"/>
    </row>
    <row r="181" spans="1:49">
      <c r="A181" s="10" t="s">
        <v>1096</v>
      </c>
      <c r="B181" s="21" t="s">
        <v>162</v>
      </c>
      <c r="C181" s="10" t="s">
        <v>163</v>
      </c>
      <c r="D181" s="74">
        <v>45274</v>
      </c>
      <c r="E181" s="10" t="s">
        <v>1097</v>
      </c>
      <c r="F181" s="75" t="str">
        <f>VLOOKUP($E181,'Item Classification'!B:C,2,0)</f>
        <v>Underwater situational display system</v>
      </c>
      <c r="G181" s="10" t="str">
        <f>VLOOKUP($E181,'Item Classification'!B:D,3,0)</f>
        <v>Naval</v>
      </c>
      <c r="H181" s="76">
        <f>VLOOKUP($E181,'Item Classification'!B:E,4,0)</f>
        <v>12</v>
      </c>
      <c r="I181" s="81">
        <v>11</v>
      </c>
      <c r="J181" s="182">
        <f t="shared" si="1"/>
        <v>9072727.2727272734</v>
      </c>
      <c r="K181" s="81">
        <v>2024</v>
      </c>
      <c r="L181" s="81">
        <v>2026</v>
      </c>
      <c r="M181" s="183">
        <v>99800000</v>
      </c>
      <c r="N181" s="10" t="s">
        <v>665</v>
      </c>
      <c r="O181" s="10" t="s">
        <v>162</v>
      </c>
      <c r="P181" s="10" t="s">
        <v>163</v>
      </c>
      <c r="Q181" s="77">
        <v>48</v>
      </c>
      <c r="R181" s="77">
        <v>1</v>
      </c>
      <c r="S181" s="77">
        <v>0</v>
      </c>
      <c r="T181" s="77">
        <v>0</v>
      </c>
      <c r="U181" s="77">
        <v>1</v>
      </c>
      <c r="V181" s="77">
        <v>0</v>
      </c>
      <c r="W181" s="77">
        <v>0</v>
      </c>
      <c r="X181" s="77">
        <v>0</v>
      </c>
      <c r="Y181" s="10" t="s">
        <v>260</v>
      </c>
      <c r="Z181" s="21" t="s">
        <v>163</v>
      </c>
      <c r="AA181" s="21" t="s">
        <v>163</v>
      </c>
      <c r="AB181" s="10" t="s">
        <v>162</v>
      </c>
      <c r="AC181" s="21" t="s">
        <v>162</v>
      </c>
      <c r="AD181" s="21" t="s">
        <v>162</v>
      </c>
      <c r="AE181" s="21" t="s">
        <v>162</v>
      </c>
      <c r="AF181" s="10" t="s">
        <v>162</v>
      </c>
      <c r="AG181" s="10" t="s">
        <v>162</v>
      </c>
      <c r="AH181" s="21" t="s">
        <v>162</v>
      </c>
      <c r="AI181" s="21" t="s">
        <v>162</v>
      </c>
      <c r="AJ181" s="21" t="s">
        <v>162</v>
      </c>
      <c r="AK181" s="21" t="s">
        <v>162</v>
      </c>
      <c r="AL181" s="21" t="s">
        <v>162</v>
      </c>
      <c r="AM181" s="21" t="s">
        <v>162</v>
      </c>
      <c r="AN181" s="21" t="s">
        <v>162</v>
      </c>
      <c r="AO181" s="21" t="s">
        <v>162</v>
      </c>
      <c r="AP181" s="21" t="s">
        <v>162</v>
      </c>
      <c r="AQ181" s="10" t="s">
        <v>1085</v>
      </c>
      <c r="AR181" s="10" t="s">
        <v>1098</v>
      </c>
      <c r="AS181" s="10" t="s">
        <v>1099</v>
      </c>
      <c r="AT181" s="10" t="s">
        <v>1100</v>
      </c>
      <c r="AU181" s="10" t="s">
        <v>162</v>
      </c>
      <c r="AV181" s="10" t="s">
        <v>162</v>
      </c>
      <c r="AW181" s="10"/>
    </row>
    <row r="182" spans="1:49">
      <c r="A182" s="10" t="s">
        <v>1101</v>
      </c>
      <c r="B182" s="21" t="s">
        <v>162</v>
      </c>
      <c r="C182" s="10" t="s">
        <v>163</v>
      </c>
      <c r="D182" s="74">
        <v>45274</v>
      </c>
      <c r="E182" s="10" t="s">
        <v>1102</v>
      </c>
      <c r="F182" s="75" t="str">
        <f>VLOOKUP($E182,'Item Classification'!B:C,2,0)</f>
        <v>Communication equipment</v>
      </c>
      <c r="G182" s="10" t="str">
        <f>VLOOKUP($E182,'Item Classification'!B:D,3,0)</f>
        <v>Modernisation</v>
      </c>
      <c r="H182" s="76">
        <f>VLOOKUP($E182,'Item Classification'!B:E,4,0)</f>
        <v>13</v>
      </c>
      <c r="I182" s="81">
        <v>1001</v>
      </c>
      <c r="J182" s="182">
        <f t="shared" si="1"/>
        <v>34745.254745254744</v>
      </c>
      <c r="K182" s="81" t="s">
        <v>162</v>
      </c>
      <c r="L182" s="81" t="s">
        <v>162</v>
      </c>
      <c r="M182" s="183">
        <v>34780000</v>
      </c>
      <c r="N182" s="10" t="s">
        <v>165</v>
      </c>
      <c r="O182" s="10" t="s">
        <v>162</v>
      </c>
      <c r="P182" s="10" t="s">
        <v>163</v>
      </c>
      <c r="Q182" s="77">
        <v>48</v>
      </c>
      <c r="R182" s="77">
        <v>1</v>
      </c>
      <c r="S182" s="77">
        <v>0</v>
      </c>
      <c r="T182" s="77">
        <v>0</v>
      </c>
      <c r="U182" s="77">
        <v>1</v>
      </c>
      <c r="V182" s="77">
        <v>0</v>
      </c>
      <c r="W182" s="77">
        <v>0</v>
      </c>
      <c r="X182" s="77">
        <v>0</v>
      </c>
      <c r="Y182" s="10" t="s">
        <v>503</v>
      </c>
      <c r="Z182" s="21" t="s">
        <v>163</v>
      </c>
      <c r="AA182" s="21" t="s">
        <v>163</v>
      </c>
      <c r="AB182" s="10" t="s">
        <v>162</v>
      </c>
      <c r="AC182" s="21" t="s">
        <v>162</v>
      </c>
      <c r="AD182" s="21" t="s">
        <v>162</v>
      </c>
      <c r="AE182" s="21" t="s">
        <v>162</v>
      </c>
      <c r="AF182" s="10" t="s">
        <v>162</v>
      </c>
      <c r="AG182" s="10" t="s">
        <v>162</v>
      </c>
      <c r="AH182" s="21" t="s">
        <v>162</v>
      </c>
      <c r="AI182" s="21" t="s">
        <v>162</v>
      </c>
      <c r="AJ182" s="21" t="s">
        <v>162</v>
      </c>
      <c r="AK182" s="21" t="s">
        <v>162</v>
      </c>
      <c r="AL182" s="21" t="s">
        <v>162</v>
      </c>
      <c r="AM182" s="21" t="s">
        <v>162</v>
      </c>
      <c r="AN182" s="21" t="s">
        <v>162</v>
      </c>
      <c r="AO182" s="21" t="s">
        <v>162</v>
      </c>
      <c r="AP182" s="21" t="s">
        <v>162</v>
      </c>
      <c r="AQ182" s="10" t="s">
        <v>1085</v>
      </c>
      <c r="AR182" s="10" t="s">
        <v>1103</v>
      </c>
      <c r="AS182" s="10" t="s">
        <v>162</v>
      </c>
      <c r="AT182" s="10" t="s">
        <v>1104</v>
      </c>
      <c r="AU182" s="10" t="s">
        <v>162</v>
      </c>
      <c r="AV182" s="10" t="s">
        <v>162</v>
      </c>
      <c r="AW182" s="10"/>
    </row>
    <row r="183" spans="1:49">
      <c r="A183" s="10" t="s">
        <v>1105</v>
      </c>
      <c r="B183" s="21" t="s">
        <v>162</v>
      </c>
      <c r="C183" s="10" t="s">
        <v>163</v>
      </c>
      <c r="D183" s="74">
        <v>45274</v>
      </c>
      <c r="E183" s="79" t="s">
        <v>1106</v>
      </c>
      <c r="F183" s="75" t="str">
        <f>VLOOKUP($E183,'Item Classification'!B:C,2,0)</f>
        <v>Air-to-air missile (AAM)</v>
      </c>
      <c r="G183" s="10" t="str">
        <f>VLOOKUP($E183,'Item Classification'!B:D,3,0)</f>
        <v>Missile (Air)</v>
      </c>
      <c r="H183" s="76">
        <f>VLOOKUP($E183,'Item Classification'!B:E,4,0)</f>
        <v>6</v>
      </c>
      <c r="I183" s="81">
        <v>120</v>
      </c>
      <c r="J183" s="182">
        <f t="shared" si="1"/>
        <v>900000</v>
      </c>
      <c r="K183" s="81">
        <v>2026</v>
      </c>
      <c r="L183" s="81">
        <v>2026</v>
      </c>
      <c r="M183" s="183">
        <v>108000000</v>
      </c>
      <c r="N183" s="10" t="s">
        <v>784</v>
      </c>
      <c r="O183" s="10" t="s">
        <v>162</v>
      </c>
      <c r="P183" s="10" t="s">
        <v>163</v>
      </c>
      <c r="Q183" s="77">
        <v>48</v>
      </c>
      <c r="R183" s="77">
        <v>1</v>
      </c>
      <c r="S183" s="77">
        <v>0</v>
      </c>
      <c r="T183" s="77">
        <v>0</v>
      </c>
      <c r="U183" s="77">
        <v>1</v>
      </c>
      <c r="V183" s="77">
        <v>1</v>
      </c>
      <c r="W183" s="77">
        <v>0</v>
      </c>
      <c r="X183" s="77">
        <v>1</v>
      </c>
      <c r="Y183" s="10" t="s">
        <v>213</v>
      </c>
      <c r="Z183" s="21" t="s">
        <v>163</v>
      </c>
      <c r="AA183" s="21" t="s">
        <v>162</v>
      </c>
      <c r="AB183" s="10" t="s">
        <v>162</v>
      </c>
      <c r="AC183" s="21" t="s">
        <v>162</v>
      </c>
      <c r="AD183" s="21" t="s">
        <v>162</v>
      </c>
      <c r="AE183" s="21" t="s">
        <v>162</v>
      </c>
      <c r="AF183" s="10" t="s">
        <v>375</v>
      </c>
      <c r="AG183" s="10" t="s">
        <v>219</v>
      </c>
      <c r="AH183" s="21" t="s">
        <v>465</v>
      </c>
      <c r="AI183" s="21" t="s">
        <v>806</v>
      </c>
      <c r="AJ183" s="21" t="s">
        <v>232</v>
      </c>
      <c r="AK183" s="21" t="s">
        <v>190</v>
      </c>
      <c r="AL183" s="21" t="s">
        <v>162</v>
      </c>
      <c r="AM183" s="21" t="s">
        <v>162</v>
      </c>
      <c r="AN183" s="21" t="s">
        <v>162</v>
      </c>
      <c r="AO183" s="21" t="s">
        <v>162</v>
      </c>
      <c r="AP183" s="21" t="s">
        <v>162</v>
      </c>
      <c r="AQ183" s="10" t="s">
        <v>1107</v>
      </c>
      <c r="AR183" s="10" t="s">
        <v>1108</v>
      </c>
      <c r="AS183" s="10" t="s">
        <v>1109</v>
      </c>
      <c r="AT183" s="10" t="s">
        <v>1110</v>
      </c>
      <c r="AU183" s="10" t="s">
        <v>1111</v>
      </c>
      <c r="AV183" s="10" t="s">
        <v>162</v>
      </c>
      <c r="AW183" s="10"/>
    </row>
    <row r="184" spans="1:49">
      <c r="A184" s="10" t="s">
        <v>1112</v>
      </c>
      <c r="B184" s="21" t="s">
        <v>162</v>
      </c>
      <c r="C184" s="10" t="s">
        <v>163</v>
      </c>
      <c r="D184" s="74">
        <v>45274</v>
      </c>
      <c r="E184" s="79" t="s">
        <v>1113</v>
      </c>
      <c r="F184" s="75" t="str">
        <f>VLOOKUP($E184,'Item Classification'!B:C,2,0)</f>
        <v>Surface-to-air missile (SAM)</v>
      </c>
      <c r="G184" s="10" t="str">
        <f>VLOOKUP($E184,'Item Classification'!B:D,3,0)</f>
        <v>Missile (Land)</v>
      </c>
      <c r="H184" s="76">
        <f>VLOOKUP($E184,'Item Classification'!B:E,4,0)</f>
        <v>6</v>
      </c>
      <c r="I184" s="81">
        <v>400</v>
      </c>
      <c r="J184" s="182">
        <f t="shared" si="1"/>
        <v>6000000</v>
      </c>
      <c r="K184" s="81">
        <v>2027</v>
      </c>
      <c r="L184" s="81">
        <v>2033</v>
      </c>
      <c r="M184" s="183">
        <v>2400000000</v>
      </c>
      <c r="N184" s="10" t="s">
        <v>665</v>
      </c>
      <c r="O184" s="10" t="s">
        <v>165</v>
      </c>
      <c r="P184" s="10" t="s">
        <v>163</v>
      </c>
      <c r="Q184" s="77">
        <v>48</v>
      </c>
      <c r="R184" s="77">
        <v>0</v>
      </c>
      <c r="S184" s="77">
        <v>0</v>
      </c>
      <c r="T184" s="77">
        <v>0</v>
      </c>
      <c r="U184" s="77">
        <v>0</v>
      </c>
      <c r="V184" s="77">
        <v>0</v>
      </c>
      <c r="W184" s="77">
        <v>1</v>
      </c>
      <c r="X184" s="77">
        <v>1</v>
      </c>
      <c r="Y184" s="10" t="s">
        <v>702</v>
      </c>
      <c r="Z184" s="21" t="s">
        <v>218</v>
      </c>
      <c r="AA184" s="21" t="s">
        <v>163</v>
      </c>
      <c r="AB184" s="10" t="s">
        <v>701</v>
      </c>
      <c r="AC184" s="21" t="s">
        <v>162</v>
      </c>
      <c r="AD184" s="21" t="s">
        <v>162</v>
      </c>
      <c r="AE184" s="21" t="s">
        <v>162</v>
      </c>
      <c r="AF184" s="10" t="s">
        <v>163</v>
      </c>
      <c r="AG184" s="10" t="s">
        <v>162</v>
      </c>
      <c r="AH184" s="21" t="s">
        <v>162</v>
      </c>
      <c r="AI184" s="21" t="s">
        <v>162</v>
      </c>
      <c r="AJ184" s="21" t="s">
        <v>162</v>
      </c>
      <c r="AK184" s="21" t="s">
        <v>162</v>
      </c>
      <c r="AL184" s="21" t="s">
        <v>162</v>
      </c>
      <c r="AM184" s="21" t="s">
        <v>162</v>
      </c>
      <c r="AN184" s="21" t="s">
        <v>162</v>
      </c>
      <c r="AO184" s="21" t="s">
        <v>162</v>
      </c>
      <c r="AP184" s="21" t="s">
        <v>162</v>
      </c>
      <c r="AQ184" s="10" t="s">
        <v>1107</v>
      </c>
      <c r="AR184" s="10" t="s">
        <v>1114</v>
      </c>
      <c r="AS184" s="10" t="s">
        <v>1115</v>
      </c>
      <c r="AT184" s="10" t="s">
        <v>1116</v>
      </c>
      <c r="AU184" s="10" t="s">
        <v>162</v>
      </c>
      <c r="AV184" s="10" t="s">
        <v>162</v>
      </c>
      <c r="AW184" s="10"/>
    </row>
    <row r="185" spans="1:49">
      <c r="A185" s="10" t="s">
        <v>1117</v>
      </c>
      <c r="B185" s="21" t="s">
        <v>162</v>
      </c>
      <c r="C185" s="10" t="s">
        <v>163</v>
      </c>
      <c r="D185" s="74">
        <v>45274</v>
      </c>
      <c r="E185" s="79" t="s">
        <v>1113</v>
      </c>
      <c r="F185" s="75" t="str">
        <f>VLOOKUP($E185,'Item Classification'!B:C,2,0)</f>
        <v>Surface-to-air missile (SAM)</v>
      </c>
      <c r="G185" s="10" t="str">
        <f>VLOOKUP($E185,'Item Classification'!B:D,3,0)</f>
        <v>Missile (Land)</v>
      </c>
      <c r="H185" s="76">
        <f>VLOOKUP($E185,'Item Classification'!B:E,4,0)</f>
        <v>6</v>
      </c>
      <c r="I185" s="81">
        <v>100</v>
      </c>
      <c r="J185" s="182">
        <f t="shared" si="1"/>
        <v>6020000</v>
      </c>
      <c r="K185" s="81">
        <v>2027</v>
      </c>
      <c r="L185" s="81">
        <v>2033</v>
      </c>
      <c r="M185" s="183">
        <v>602000000</v>
      </c>
      <c r="N185" s="10" t="s">
        <v>784</v>
      </c>
      <c r="O185" s="10" t="s">
        <v>162</v>
      </c>
      <c r="P185" s="10" t="s">
        <v>163</v>
      </c>
      <c r="Q185" s="77">
        <v>48</v>
      </c>
      <c r="R185" s="77">
        <v>0</v>
      </c>
      <c r="S185" s="77">
        <v>0</v>
      </c>
      <c r="T185" s="77">
        <v>0</v>
      </c>
      <c r="U185" s="77">
        <v>0</v>
      </c>
      <c r="V185" s="77">
        <v>0</v>
      </c>
      <c r="W185" s="77">
        <v>1</v>
      </c>
      <c r="X185" s="77">
        <v>1</v>
      </c>
      <c r="Y185" s="10" t="s">
        <v>702</v>
      </c>
      <c r="Z185" s="21" t="s">
        <v>218</v>
      </c>
      <c r="AA185" s="21" t="s">
        <v>163</v>
      </c>
      <c r="AB185" s="10" t="s">
        <v>701</v>
      </c>
      <c r="AC185" s="21" t="s">
        <v>162</v>
      </c>
      <c r="AD185" s="21" t="s">
        <v>162</v>
      </c>
      <c r="AE185" s="21" t="s">
        <v>162</v>
      </c>
      <c r="AF185" s="10" t="s">
        <v>163</v>
      </c>
      <c r="AG185" s="10" t="s">
        <v>162</v>
      </c>
      <c r="AH185" s="21" t="s">
        <v>162</v>
      </c>
      <c r="AI185" s="21" t="s">
        <v>162</v>
      </c>
      <c r="AJ185" s="21" t="s">
        <v>162</v>
      </c>
      <c r="AK185" s="21" t="s">
        <v>162</v>
      </c>
      <c r="AL185" s="21" t="s">
        <v>162</v>
      </c>
      <c r="AM185" s="21" t="s">
        <v>162</v>
      </c>
      <c r="AN185" s="21" t="s">
        <v>162</v>
      </c>
      <c r="AO185" s="21" t="s">
        <v>162</v>
      </c>
      <c r="AP185" s="21" t="s">
        <v>162</v>
      </c>
      <c r="AQ185" s="10" t="s">
        <v>1107</v>
      </c>
      <c r="AR185" s="10" t="s">
        <v>1114</v>
      </c>
      <c r="AS185" s="10" t="s">
        <v>1115</v>
      </c>
      <c r="AT185" s="10" t="s">
        <v>1116</v>
      </c>
      <c r="AU185" s="10" t="s">
        <v>162</v>
      </c>
      <c r="AV185" s="10" t="s">
        <v>162</v>
      </c>
      <c r="AW185" s="10"/>
    </row>
    <row r="186" spans="1:49">
      <c r="A186" s="10" t="s">
        <v>1118</v>
      </c>
      <c r="B186" s="21" t="s">
        <v>162</v>
      </c>
      <c r="C186" s="10" t="s">
        <v>163</v>
      </c>
      <c r="D186" s="74">
        <v>45274</v>
      </c>
      <c r="E186" s="79" t="s">
        <v>1119</v>
      </c>
      <c r="F186" s="75" t="str">
        <f>VLOOKUP($E186,'Item Classification'!B:C,2,0)</f>
        <v>Air-to-air missile (AAM) development</v>
      </c>
      <c r="G186" s="10" t="str">
        <f>VLOOKUP($E186,'Item Classification'!B:D,3,0)</f>
        <v>Development - Missile (Air)</v>
      </c>
      <c r="H186" s="76">
        <f>VLOOKUP($E186,'Item Classification'!B:E,4,0)</f>
        <v>15</v>
      </c>
      <c r="I186" s="81" t="s">
        <v>162</v>
      </c>
      <c r="J186" s="81" t="s">
        <v>162</v>
      </c>
      <c r="K186" s="81">
        <v>2025</v>
      </c>
      <c r="L186" s="81" t="s">
        <v>162</v>
      </c>
      <c r="M186" s="183">
        <v>34900000</v>
      </c>
      <c r="N186" s="10" t="s">
        <v>165</v>
      </c>
      <c r="O186" s="10" t="s">
        <v>162</v>
      </c>
      <c r="P186" s="10" t="s">
        <v>163</v>
      </c>
      <c r="Q186" s="77">
        <v>48</v>
      </c>
      <c r="R186" s="77">
        <v>0</v>
      </c>
      <c r="S186" s="77">
        <v>0</v>
      </c>
      <c r="T186" s="77">
        <v>0</v>
      </c>
      <c r="U186" s="77">
        <v>1</v>
      </c>
      <c r="V186" s="77">
        <v>1</v>
      </c>
      <c r="W186" s="77">
        <v>0</v>
      </c>
      <c r="X186" s="77">
        <v>1</v>
      </c>
      <c r="Y186" s="10" t="s">
        <v>472</v>
      </c>
      <c r="Z186" s="21" t="s">
        <v>163</v>
      </c>
      <c r="AA186" s="21" t="s">
        <v>163</v>
      </c>
      <c r="AB186" s="10" t="s">
        <v>162</v>
      </c>
      <c r="AC186" s="21" t="s">
        <v>162</v>
      </c>
      <c r="AD186" s="21" t="s">
        <v>162</v>
      </c>
      <c r="AE186" s="21" t="s">
        <v>162</v>
      </c>
      <c r="AF186" s="10" t="s">
        <v>181</v>
      </c>
      <c r="AG186" s="10" t="s">
        <v>689</v>
      </c>
      <c r="AH186" s="21" t="s">
        <v>219</v>
      </c>
      <c r="AI186" s="21" t="s">
        <v>190</v>
      </c>
      <c r="AJ186" s="21" t="s">
        <v>232</v>
      </c>
      <c r="AK186" s="21" t="s">
        <v>162</v>
      </c>
      <c r="AL186" s="21" t="s">
        <v>162</v>
      </c>
      <c r="AM186" s="21" t="s">
        <v>162</v>
      </c>
      <c r="AN186" s="21" t="s">
        <v>162</v>
      </c>
      <c r="AO186" s="21" t="s">
        <v>181</v>
      </c>
      <c r="AP186" s="21" t="s">
        <v>689</v>
      </c>
      <c r="AQ186" s="10" t="s">
        <v>1107</v>
      </c>
      <c r="AR186" s="10" t="s">
        <v>1120</v>
      </c>
      <c r="AS186" s="10" t="s">
        <v>1121</v>
      </c>
      <c r="AT186" s="10" t="s">
        <v>1122</v>
      </c>
      <c r="AU186" s="10" t="s">
        <v>162</v>
      </c>
      <c r="AV186" s="10" t="s">
        <v>162</v>
      </c>
      <c r="AW186" s="10"/>
    </row>
    <row r="187" spans="1:49">
      <c r="A187" s="10" t="s">
        <v>1123</v>
      </c>
      <c r="B187" s="21" t="s">
        <v>162</v>
      </c>
      <c r="C187" s="10" t="s">
        <v>163</v>
      </c>
      <c r="D187" s="74">
        <v>45310</v>
      </c>
      <c r="E187" s="10" t="s">
        <v>1124</v>
      </c>
      <c r="F187" s="75" t="str">
        <f>VLOOKUP($E187,'Item Classification'!B:C,2,0)</f>
        <v>Ground based air defence system development</v>
      </c>
      <c r="G187" s="10" t="str">
        <f>VLOOKUP($E187,'Item Classification'!B:D,3,0)</f>
        <v>Development - Air defence system</v>
      </c>
      <c r="H187" s="76">
        <f>VLOOKUP($E187,'Item Classification'!B:E,4,0)</f>
        <v>15</v>
      </c>
      <c r="I187" s="81" t="s">
        <v>162</v>
      </c>
      <c r="J187" s="81" t="s">
        <v>162</v>
      </c>
      <c r="K187" s="81">
        <v>2028</v>
      </c>
      <c r="L187" s="81" t="s">
        <v>162</v>
      </c>
      <c r="M187" s="183">
        <v>1230000000</v>
      </c>
      <c r="N187" s="10" t="s">
        <v>665</v>
      </c>
      <c r="O187" s="10" t="s">
        <v>165</v>
      </c>
      <c r="P187" s="10" t="s">
        <v>163</v>
      </c>
      <c r="Q187" s="77">
        <v>49</v>
      </c>
      <c r="R187" s="77">
        <v>0</v>
      </c>
      <c r="S187" s="77">
        <v>0</v>
      </c>
      <c r="T187" s="77">
        <v>0</v>
      </c>
      <c r="U187" s="77">
        <v>1</v>
      </c>
      <c r="V187" s="77">
        <v>0</v>
      </c>
      <c r="W187" s="77">
        <v>0</v>
      </c>
      <c r="X187" s="77">
        <v>0</v>
      </c>
      <c r="Y187" s="10" t="s">
        <v>268</v>
      </c>
      <c r="Z187" s="21" t="s">
        <v>163</v>
      </c>
      <c r="AA187" s="21" t="s">
        <v>163</v>
      </c>
      <c r="AB187" s="10" t="s">
        <v>1125</v>
      </c>
      <c r="AC187" s="21" t="s">
        <v>179</v>
      </c>
      <c r="AD187" s="21" t="s">
        <v>162</v>
      </c>
      <c r="AE187" s="21" t="s">
        <v>162</v>
      </c>
      <c r="AF187" s="10" t="s">
        <v>162</v>
      </c>
      <c r="AG187" s="10" t="s">
        <v>162</v>
      </c>
      <c r="AH187" s="21" t="s">
        <v>162</v>
      </c>
      <c r="AI187" s="21" t="s">
        <v>162</v>
      </c>
      <c r="AJ187" s="21" t="s">
        <v>162</v>
      </c>
      <c r="AK187" s="21" t="s">
        <v>162</v>
      </c>
      <c r="AL187" s="21" t="s">
        <v>162</v>
      </c>
      <c r="AM187" s="21" t="s">
        <v>162</v>
      </c>
      <c r="AN187" s="21" t="s">
        <v>162</v>
      </c>
      <c r="AO187" s="21" t="s">
        <v>162</v>
      </c>
      <c r="AP187" s="21" t="s">
        <v>162</v>
      </c>
      <c r="AQ187" s="10" t="s">
        <v>1126</v>
      </c>
      <c r="AR187" s="10" t="s">
        <v>1127</v>
      </c>
      <c r="AS187" s="10" t="s">
        <v>1128</v>
      </c>
      <c r="AT187" s="10" t="s">
        <v>1129</v>
      </c>
      <c r="AU187" s="10" t="s">
        <v>1130</v>
      </c>
      <c r="AV187" s="10" t="s">
        <v>162</v>
      </c>
      <c r="AW187" s="10"/>
    </row>
    <row r="188" spans="1:49">
      <c r="A188" s="10" t="s">
        <v>1131</v>
      </c>
      <c r="B188" s="10" t="s">
        <v>403</v>
      </c>
      <c r="C188" s="10" t="s">
        <v>163</v>
      </c>
      <c r="D188" s="74">
        <v>45343</v>
      </c>
      <c r="E188" s="10" t="s">
        <v>644</v>
      </c>
      <c r="F188" s="75" t="str">
        <f>VLOOKUP($E188,'Item Classification'!B:C,2,0)</f>
        <v>Clothing and personal equipment</v>
      </c>
      <c r="G188" s="10" t="str">
        <f>VLOOKUP($E188,'Item Classification'!B:D,3,0)</f>
        <v>Modernisation</v>
      </c>
      <c r="H188" s="76">
        <f>VLOOKUP($E188,'Item Classification'!B:E,4,0)</f>
        <v>13</v>
      </c>
      <c r="I188" s="81" t="s">
        <v>162</v>
      </c>
      <c r="J188" s="81" t="s">
        <v>162</v>
      </c>
      <c r="K188" s="81" t="s">
        <v>162</v>
      </c>
      <c r="L188" s="81" t="s">
        <v>162</v>
      </c>
      <c r="M188" s="183">
        <v>2200000000</v>
      </c>
      <c r="N188" s="10" t="s">
        <v>165</v>
      </c>
      <c r="O188" s="10" t="s">
        <v>162</v>
      </c>
      <c r="P188" s="10" t="s">
        <v>163</v>
      </c>
      <c r="Q188" s="77">
        <v>50</v>
      </c>
      <c r="R188" s="77">
        <v>0</v>
      </c>
      <c r="S188" s="77">
        <v>0</v>
      </c>
      <c r="T188" s="77">
        <v>0</v>
      </c>
      <c r="U188" s="77">
        <v>1</v>
      </c>
      <c r="V188" s="77">
        <v>0</v>
      </c>
      <c r="W188" s="77">
        <v>0</v>
      </c>
      <c r="X188" s="77">
        <v>0</v>
      </c>
      <c r="Y188" s="10" t="s">
        <v>240</v>
      </c>
      <c r="Z188" s="10" t="s">
        <v>163</v>
      </c>
      <c r="AA188" s="21" t="s">
        <v>162</v>
      </c>
      <c r="AB188" s="10" t="s">
        <v>162</v>
      </c>
      <c r="AC188" s="21" t="s">
        <v>162</v>
      </c>
      <c r="AD188" s="21" t="s">
        <v>162</v>
      </c>
      <c r="AE188" s="21" t="s">
        <v>162</v>
      </c>
      <c r="AF188" s="10" t="s">
        <v>162</v>
      </c>
      <c r="AG188" s="10" t="s">
        <v>162</v>
      </c>
      <c r="AH188" s="21" t="s">
        <v>162</v>
      </c>
      <c r="AI188" s="21" t="s">
        <v>162</v>
      </c>
      <c r="AJ188" s="21" t="s">
        <v>162</v>
      </c>
      <c r="AK188" s="21" t="s">
        <v>162</v>
      </c>
      <c r="AL188" s="21" t="s">
        <v>162</v>
      </c>
      <c r="AM188" s="21" t="s">
        <v>162</v>
      </c>
      <c r="AN188" s="21" t="s">
        <v>162</v>
      </c>
      <c r="AO188" s="21" t="s">
        <v>162</v>
      </c>
      <c r="AP188" s="21" t="s">
        <v>162</v>
      </c>
      <c r="AQ188" s="10" t="s">
        <v>1132</v>
      </c>
      <c r="AR188" s="10" t="s">
        <v>162</v>
      </c>
      <c r="AS188" s="10" t="s">
        <v>162</v>
      </c>
      <c r="AT188" s="10" t="s">
        <v>1133</v>
      </c>
      <c r="AU188" s="10" t="s">
        <v>162</v>
      </c>
      <c r="AV188" s="10" t="s">
        <v>162</v>
      </c>
      <c r="AW188" s="10"/>
    </row>
    <row r="189" spans="1:49">
      <c r="A189" s="10" t="s">
        <v>1134</v>
      </c>
      <c r="B189" s="21" t="s">
        <v>162</v>
      </c>
      <c r="C189" s="10" t="s">
        <v>163</v>
      </c>
      <c r="D189" s="74">
        <v>45343</v>
      </c>
      <c r="E189" s="75" t="s">
        <v>1135</v>
      </c>
      <c r="F189" s="75" t="str">
        <f>VLOOKUP($E189,'Item Classification'!B:C,2,0)</f>
        <v>Self-propelled anti-aircraft weapon</v>
      </c>
      <c r="G189" s="10" t="str">
        <f>VLOOKUP($E189,'Item Classification'!B:D,3,0)</f>
        <v>Air defence system</v>
      </c>
      <c r="H189" s="76">
        <f>VLOOKUP($E189,'Item Classification'!B:E,4,0)</f>
        <v>5</v>
      </c>
      <c r="I189" s="81">
        <v>19</v>
      </c>
      <c r="J189" s="182">
        <f>M189/I189</f>
        <v>34157894.736842103</v>
      </c>
      <c r="K189" s="81">
        <v>2026</v>
      </c>
      <c r="L189" s="81">
        <v>2028</v>
      </c>
      <c r="M189" s="183">
        <v>649000000</v>
      </c>
      <c r="N189" s="10" t="s">
        <v>665</v>
      </c>
      <c r="O189" s="10" t="s">
        <v>162</v>
      </c>
      <c r="P189" s="10" t="s">
        <v>163</v>
      </c>
      <c r="Q189" s="77">
        <v>50</v>
      </c>
      <c r="R189" s="77">
        <v>1</v>
      </c>
      <c r="S189" s="77">
        <v>0</v>
      </c>
      <c r="T189" s="77">
        <v>0</v>
      </c>
      <c r="U189" s="77">
        <v>1</v>
      </c>
      <c r="V189" s="77">
        <v>0</v>
      </c>
      <c r="W189" s="77">
        <v>0</v>
      </c>
      <c r="X189" s="77">
        <v>0</v>
      </c>
      <c r="Y189" s="10" t="s">
        <v>268</v>
      </c>
      <c r="Z189" s="21" t="s">
        <v>163</v>
      </c>
      <c r="AA189" s="21" t="s">
        <v>163</v>
      </c>
      <c r="AB189" s="10" t="s">
        <v>485</v>
      </c>
      <c r="AC189" s="21" t="s">
        <v>162</v>
      </c>
      <c r="AD189" s="21" t="s">
        <v>162</v>
      </c>
      <c r="AE189" s="21" t="s">
        <v>162</v>
      </c>
      <c r="AF189" s="10" t="s">
        <v>162</v>
      </c>
      <c r="AG189" s="10" t="s">
        <v>162</v>
      </c>
      <c r="AH189" s="21" t="s">
        <v>162</v>
      </c>
      <c r="AI189" s="21" t="s">
        <v>162</v>
      </c>
      <c r="AJ189" s="21" t="s">
        <v>162</v>
      </c>
      <c r="AK189" s="21" t="s">
        <v>162</v>
      </c>
      <c r="AL189" s="21" t="s">
        <v>162</v>
      </c>
      <c r="AM189" s="21" t="s">
        <v>162</v>
      </c>
      <c r="AN189" s="21" t="s">
        <v>162</v>
      </c>
      <c r="AO189" s="21" t="s">
        <v>162</v>
      </c>
      <c r="AP189" s="21" t="s">
        <v>162</v>
      </c>
      <c r="AQ189" s="10" t="s">
        <v>1136</v>
      </c>
      <c r="AR189" s="10" t="s">
        <v>1137</v>
      </c>
      <c r="AS189" s="10" t="s">
        <v>1138</v>
      </c>
      <c r="AT189" s="10" t="s">
        <v>1139</v>
      </c>
      <c r="AU189" s="10" t="s">
        <v>1140</v>
      </c>
      <c r="AV189" s="10" t="s">
        <v>162</v>
      </c>
      <c r="AW189" s="10"/>
    </row>
    <row r="190" spans="1:49">
      <c r="A190" s="10" t="s">
        <v>1141</v>
      </c>
      <c r="B190" s="21" t="s">
        <v>162</v>
      </c>
      <c r="C190" s="10" t="s">
        <v>163</v>
      </c>
      <c r="D190" s="74">
        <v>45365</v>
      </c>
      <c r="E190" s="10" t="s">
        <v>162</v>
      </c>
      <c r="F190" s="75" t="s">
        <v>613</v>
      </c>
      <c r="G190" s="10" t="s">
        <v>296</v>
      </c>
      <c r="H190" s="76">
        <v>16</v>
      </c>
      <c r="I190" s="81" t="s">
        <v>162</v>
      </c>
      <c r="J190" s="81" t="s">
        <v>162</v>
      </c>
      <c r="K190" s="81" t="s">
        <v>162</v>
      </c>
      <c r="L190" s="81" t="s">
        <v>162</v>
      </c>
      <c r="M190" s="183">
        <v>162000000</v>
      </c>
      <c r="N190" s="10" t="s">
        <v>665</v>
      </c>
      <c r="O190" s="10" t="s">
        <v>162</v>
      </c>
      <c r="P190" s="10" t="s">
        <v>163</v>
      </c>
      <c r="Q190" s="77">
        <v>51</v>
      </c>
      <c r="R190" s="77">
        <v>1</v>
      </c>
      <c r="S190" s="77">
        <v>0</v>
      </c>
      <c r="T190" s="77">
        <v>0</v>
      </c>
      <c r="U190" s="77">
        <v>1</v>
      </c>
      <c r="V190" s="77">
        <v>1</v>
      </c>
      <c r="W190" s="77">
        <v>0</v>
      </c>
      <c r="X190" s="77">
        <v>1</v>
      </c>
      <c r="Y190" s="21" t="s">
        <v>179</v>
      </c>
      <c r="Z190" s="21" t="s">
        <v>163</v>
      </c>
      <c r="AA190" s="21" t="s">
        <v>163</v>
      </c>
      <c r="AB190" s="21" t="s">
        <v>374</v>
      </c>
      <c r="AC190" s="21" t="s">
        <v>162</v>
      </c>
      <c r="AD190" s="21" t="s">
        <v>162</v>
      </c>
      <c r="AE190" s="21" t="s">
        <v>162</v>
      </c>
      <c r="AF190" s="21" t="s">
        <v>375</v>
      </c>
      <c r="AG190" s="21" t="s">
        <v>162</v>
      </c>
      <c r="AH190" s="21" t="s">
        <v>162</v>
      </c>
      <c r="AI190" s="21" t="s">
        <v>162</v>
      </c>
      <c r="AJ190" s="21" t="s">
        <v>162</v>
      </c>
      <c r="AK190" s="21" t="s">
        <v>162</v>
      </c>
      <c r="AL190" s="21" t="s">
        <v>162</v>
      </c>
      <c r="AM190" s="21" t="s">
        <v>162</v>
      </c>
      <c r="AN190" s="21" t="s">
        <v>162</v>
      </c>
      <c r="AO190" s="21" t="s">
        <v>162</v>
      </c>
      <c r="AP190" s="21" t="s">
        <v>162</v>
      </c>
      <c r="AQ190" s="10" t="s">
        <v>1142</v>
      </c>
      <c r="AR190" s="10" t="s">
        <v>1143</v>
      </c>
      <c r="AS190" s="10" t="s">
        <v>1144</v>
      </c>
      <c r="AT190" s="10" t="s">
        <v>1145</v>
      </c>
      <c r="AU190" s="10" t="s">
        <v>1146</v>
      </c>
      <c r="AV190" s="10" t="s">
        <v>162</v>
      </c>
      <c r="AW190" s="10"/>
    </row>
    <row r="191" spans="1:49">
      <c r="A191" s="10" t="s">
        <v>1147</v>
      </c>
      <c r="B191" s="21" t="s">
        <v>162</v>
      </c>
      <c r="C191" s="10" t="s">
        <v>163</v>
      </c>
      <c r="D191" s="74">
        <v>45365</v>
      </c>
      <c r="E191" s="78" t="s">
        <v>372</v>
      </c>
      <c r="F191" s="75" t="str">
        <f>VLOOKUP($E191,'Item Classification'!B:C,2,0)</f>
        <v>Military equipment</v>
      </c>
      <c r="G191" s="10" t="str">
        <f>VLOOKUP($E191,'Item Classification'!B:D,3,0)</f>
        <v>Other</v>
      </c>
      <c r="H191" s="76">
        <f>VLOOKUP($E191,'Item Classification'!B:E,4,0)</f>
        <v>16</v>
      </c>
      <c r="I191" s="81">
        <v>16041</v>
      </c>
      <c r="J191" s="81" t="s">
        <v>162</v>
      </c>
      <c r="K191" s="81" t="s">
        <v>162</v>
      </c>
      <c r="L191" s="81" t="s">
        <v>162</v>
      </c>
      <c r="M191" s="81" t="s">
        <v>162</v>
      </c>
      <c r="N191" s="10" t="s">
        <v>665</v>
      </c>
      <c r="O191" s="10" t="s">
        <v>162</v>
      </c>
      <c r="P191" s="10" t="s">
        <v>163</v>
      </c>
      <c r="Q191" s="77">
        <v>51</v>
      </c>
      <c r="R191" s="77">
        <v>1</v>
      </c>
      <c r="S191" s="77">
        <v>0</v>
      </c>
      <c r="T191" s="77">
        <v>0</v>
      </c>
      <c r="U191" s="77">
        <v>1</v>
      </c>
      <c r="V191" s="77">
        <v>1</v>
      </c>
      <c r="W191" s="77">
        <v>0</v>
      </c>
      <c r="X191" s="77">
        <v>1</v>
      </c>
      <c r="Y191" s="21" t="s">
        <v>179</v>
      </c>
      <c r="Z191" s="21" t="s">
        <v>163</v>
      </c>
      <c r="AA191" s="21" t="s">
        <v>163</v>
      </c>
      <c r="AB191" s="21" t="s">
        <v>374</v>
      </c>
      <c r="AC191" s="21" t="s">
        <v>162</v>
      </c>
      <c r="AD191" s="21" t="s">
        <v>162</v>
      </c>
      <c r="AE191" s="21" t="s">
        <v>162</v>
      </c>
      <c r="AF191" s="21" t="s">
        <v>375</v>
      </c>
      <c r="AG191" s="21" t="s">
        <v>162</v>
      </c>
      <c r="AH191" s="21" t="s">
        <v>162</v>
      </c>
      <c r="AI191" s="21" t="s">
        <v>162</v>
      </c>
      <c r="AJ191" s="21" t="s">
        <v>162</v>
      </c>
      <c r="AK191" s="21" t="s">
        <v>162</v>
      </c>
      <c r="AL191" s="21" t="s">
        <v>162</v>
      </c>
      <c r="AM191" s="21" t="s">
        <v>162</v>
      </c>
      <c r="AN191" s="21" t="s">
        <v>162</v>
      </c>
      <c r="AO191" s="21" t="s">
        <v>162</v>
      </c>
      <c r="AP191" s="21" t="s">
        <v>162</v>
      </c>
      <c r="AQ191" s="10" t="s">
        <v>1142</v>
      </c>
      <c r="AR191" s="10" t="s">
        <v>1143</v>
      </c>
      <c r="AS191" s="10" t="s">
        <v>1144</v>
      </c>
      <c r="AT191" s="10" t="s">
        <v>1145</v>
      </c>
      <c r="AU191" s="10" t="s">
        <v>1146</v>
      </c>
      <c r="AV191" s="10" t="s">
        <v>162</v>
      </c>
      <c r="AW191" s="10"/>
    </row>
    <row r="192" spans="1:49">
      <c r="A192" s="10" t="s">
        <v>1148</v>
      </c>
      <c r="B192" s="21" t="s">
        <v>162</v>
      </c>
      <c r="C192" s="10" t="s">
        <v>163</v>
      </c>
      <c r="D192" s="74">
        <v>45365</v>
      </c>
      <c r="E192" s="78" t="s">
        <v>1149</v>
      </c>
      <c r="F192" s="75" t="str">
        <f>VLOOKUP($E192,'Item Classification'!B:C,2,0)</f>
        <v>Military equipment</v>
      </c>
      <c r="G192" s="10" t="str">
        <f>VLOOKUP($E192,'Item Classification'!B:D,3,0)</f>
        <v>Other</v>
      </c>
      <c r="H192" s="76">
        <f>VLOOKUP($E192,'Item Classification'!B:E,4,0)</f>
        <v>16</v>
      </c>
      <c r="I192" s="81">
        <v>8423</v>
      </c>
      <c r="J192" s="81" t="s">
        <v>162</v>
      </c>
      <c r="K192" s="81" t="s">
        <v>162</v>
      </c>
      <c r="L192" s="81" t="s">
        <v>162</v>
      </c>
      <c r="M192" s="81" t="s">
        <v>162</v>
      </c>
      <c r="N192" s="10" t="s">
        <v>665</v>
      </c>
      <c r="O192" s="10" t="s">
        <v>162</v>
      </c>
      <c r="P192" s="10" t="s">
        <v>163</v>
      </c>
      <c r="Q192" s="77">
        <v>51</v>
      </c>
      <c r="R192" s="77">
        <v>1</v>
      </c>
      <c r="S192" s="77">
        <v>0</v>
      </c>
      <c r="T192" s="77">
        <v>0</v>
      </c>
      <c r="U192" s="77">
        <v>1</v>
      </c>
      <c r="V192" s="77">
        <v>1</v>
      </c>
      <c r="W192" s="77">
        <v>0</v>
      </c>
      <c r="X192" s="77">
        <v>1</v>
      </c>
      <c r="Y192" s="21" t="s">
        <v>179</v>
      </c>
      <c r="Z192" s="21" t="s">
        <v>163</v>
      </c>
      <c r="AA192" s="21" t="s">
        <v>163</v>
      </c>
      <c r="AB192" s="21" t="s">
        <v>374</v>
      </c>
      <c r="AC192" s="21" t="s">
        <v>162</v>
      </c>
      <c r="AD192" s="21" t="s">
        <v>162</v>
      </c>
      <c r="AE192" s="21" t="s">
        <v>162</v>
      </c>
      <c r="AF192" s="21" t="s">
        <v>375</v>
      </c>
      <c r="AG192" s="10" t="s">
        <v>162</v>
      </c>
      <c r="AH192" s="21" t="s">
        <v>162</v>
      </c>
      <c r="AI192" s="21" t="s">
        <v>162</v>
      </c>
      <c r="AJ192" s="21" t="s">
        <v>162</v>
      </c>
      <c r="AK192" s="21" t="s">
        <v>162</v>
      </c>
      <c r="AL192" s="21" t="s">
        <v>162</v>
      </c>
      <c r="AM192" s="21" t="s">
        <v>162</v>
      </c>
      <c r="AN192" s="21" t="s">
        <v>162</v>
      </c>
      <c r="AO192" s="21" t="s">
        <v>162</v>
      </c>
      <c r="AP192" s="21" t="s">
        <v>162</v>
      </c>
      <c r="AQ192" s="10" t="s">
        <v>1142</v>
      </c>
      <c r="AR192" s="10" t="s">
        <v>1143</v>
      </c>
      <c r="AS192" s="10" t="s">
        <v>1144</v>
      </c>
      <c r="AT192" s="10" t="s">
        <v>1145</v>
      </c>
      <c r="AU192" s="10" t="s">
        <v>1146</v>
      </c>
      <c r="AV192" s="10" t="s">
        <v>162</v>
      </c>
      <c r="AW192" s="10"/>
    </row>
    <row r="193" spans="1:49">
      <c r="A193" s="10" t="s">
        <v>1150</v>
      </c>
      <c r="B193" s="21" t="s">
        <v>1004</v>
      </c>
      <c r="C193" s="10" t="s">
        <v>163</v>
      </c>
      <c r="D193" s="74">
        <v>45365</v>
      </c>
      <c r="E193" s="10" t="s">
        <v>1151</v>
      </c>
      <c r="F193" s="75" t="str">
        <f>VLOOKUP($E193,'Item Classification'!B:C,2,0)</f>
        <v>Fighter jet radar development</v>
      </c>
      <c r="G193" s="10" t="str">
        <f>VLOOKUP($E193,'Item Classification'!B:D,3,0)</f>
        <v>Development - Aircraft</v>
      </c>
      <c r="H193" s="76">
        <f>VLOOKUP($E193,'Item Classification'!B:E,4,0)</f>
        <v>15</v>
      </c>
      <c r="I193" s="81" t="s">
        <v>162</v>
      </c>
      <c r="J193" s="81" t="s">
        <v>162</v>
      </c>
      <c r="K193" s="81" t="s">
        <v>162</v>
      </c>
      <c r="L193" s="81" t="s">
        <v>162</v>
      </c>
      <c r="M193" s="183">
        <v>102000000</v>
      </c>
      <c r="N193" s="10" t="s">
        <v>665</v>
      </c>
      <c r="O193" s="10" t="s">
        <v>162</v>
      </c>
      <c r="P193" s="10" t="s">
        <v>163</v>
      </c>
      <c r="Q193" s="77">
        <v>51</v>
      </c>
      <c r="R193" s="77">
        <v>0</v>
      </c>
      <c r="S193" s="77">
        <v>0</v>
      </c>
      <c r="T193" s="77">
        <v>0</v>
      </c>
      <c r="U193" s="77">
        <v>1</v>
      </c>
      <c r="V193" s="77">
        <v>1</v>
      </c>
      <c r="W193" s="77">
        <v>0</v>
      </c>
      <c r="X193" s="77">
        <v>1</v>
      </c>
      <c r="Y193" s="10" t="s">
        <v>162</v>
      </c>
      <c r="Z193" s="21" t="s">
        <v>163</v>
      </c>
      <c r="AA193" s="21" t="s">
        <v>162</v>
      </c>
      <c r="AB193" s="21" t="s">
        <v>162</v>
      </c>
      <c r="AC193" s="21" t="s">
        <v>162</v>
      </c>
      <c r="AD193" s="21" t="s">
        <v>162</v>
      </c>
      <c r="AE193" s="21" t="s">
        <v>162</v>
      </c>
      <c r="AF193" s="21" t="s">
        <v>689</v>
      </c>
      <c r="AG193" s="21" t="s">
        <v>219</v>
      </c>
      <c r="AH193" s="21" t="s">
        <v>190</v>
      </c>
      <c r="AI193" s="21" t="s">
        <v>162</v>
      </c>
      <c r="AJ193" s="21" t="s">
        <v>162</v>
      </c>
      <c r="AK193" s="21" t="s">
        <v>162</v>
      </c>
      <c r="AL193" s="21" t="s">
        <v>162</v>
      </c>
      <c r="AM193" s="21" t="s">
        <v>162</v>
      </c>
      <c r="AN193" s="21" t="s">
        <v>162</v>
      </c>
      <c r="AO193" s="21" t="s">
        <v>162</v>
      </c>
      <c r="AP193" s="21" t="s">
        <v>162</v>
      </c>
      <c r="AQ193" s="10" t="s">
        <v>1142</v>
      </c>
      <c r="AR193" s="10" t="s">
        <v>162</v>
      </c>
      <c r="AS193" s="10" t="s">
        <v>162</v>
      </c>
      <c r="AT193" s="10" t="s">
        <v>1152</v>
      </c>
      <c r="AU193" s="10" t="s">
        <v>162</v>
      </c>
      <c r="AV193" s="10" t="s">
        <v>162</v>
      </c>
      <c r="AW193" s="10"/>
    </row>
    <row r="194" spans="1:49">
      <c r="A194" s="10" t="s">
        <v>1153</v>
      </c>
      <c r="B194" s="21" t="s">
        <v>162</v>
      </c>
      <c r="C194" s="10" t="s">
        <v>163</v>
      </c>
      <c r="D194" s="74">
        <v>45371</v>
      </c>
      <c r="E194" s="79" t="s">
        <v>1154</v>
      </c>
      <c r="F194" s="75" t="str">
        <f>VLOOKUP($E194,'Item Classification'!B:C,2,0)</f>
        <v>Anti-aircraft surface-to-air missile (SAM) system (long-range)</v>
      </c>
      <c r="G194" s="10" t="str">
        <f>VLOOKUP($E194,'Item Classification'!B:D,3,0)</f>
        <v>Air defence system</v>
      </c>
      <c r="H194" s="76">
        <f>VLOOKUP($E194,'Item Classification'!B:E,4,0)</f>
        <v>5</v>
      </c>
      <c r="I194" s="81">
        <v>2</v>
      </c>
      <c r="J194" s="182">
        <f t="shared" ref="J194:J200" si="2">M194/I194</f>
        <v>350000000</v>
      </c>
      <c r="K194" s="81" t="s">
        <v>162</v>
      </c>
      <c r="L194" s="81">
        <v>2029</v>
      </c>
      <c r="M194" s="183">
        <v>700000000</v>
      </c>
      <c r="N194" s="10" t="s">
        <v>665</v>
      </c>
      <c r="O194" s="10" t="s">
        <v>165</v>
      </c>
      <c r="P194" s="10" t="s">
        <v>163</v>
      </c>
      <c r="Q194" s="77">
        <v>51</v>
      </c>
      <c r="R194" s="77">
        <v>0</v>
      </c>
      <c r="S194" s="77">
        <v>0</v>
      </c>
      <c r="T194" s="77">
        <v>0</v>
      </c>
      <c r="U194" s="85">
        <v>0</v>
      </c>
      <c r="V194" s="85">
        <v>0</v>
      </c>
      <c r="W194" s="85">
        <v>0</v>
      </c>
      <c r="X194" s="85">
        <v>0</v>
      </c>
      <c r="Y194" s="10" t="s">
        <v>702</v>
      </c>
      <c r="Z194" s="5" t="s">
        <v>218</v>
      </c>
      <c r="AA194" s="10" t="s">
        <v>162</v>
      </c>
      <c r="AB194" s="10" t="s">
        <v>162</v>
      </c>
      <c r="AC194" s="21" t="s">
        <v>162</v>
      </c>
      <c r="AD194" s="21" t="s">
        <v>162</v>
      </c>
      <c r="AE194" s="21" t="s">
        <v>162</v>
      </c>
      <c r="AF194" s="10" t="s">
        <v>162</v>
      </c>
      <c r="AG194" s="10" t="s">
        <v>162</v>
      </c>
      <c r="AH194" s="21" t="s">
        <v>162</v>
      </c>
      <c r="AI194" s="21" t="s">
        <v>162</v>
      </c>
      <c r="AJ194" s="21" t="s">
        <v>162</v>
      </c>
      <c r="AK194" s="21" t="s">
        <v>162</v>
      </c>
      <c r="AL194" s="21" t="s">
        <v>162</v>
      </c>
      <c r="AM194" s="21" t="s">
        <v>162</v>
      </c>
      <c r="AN194" s="21" t="s">
        <v>162</v>
      </c>
      <c r="AO194" s="21" t="s">
        <v>162</v>
      </c>
      <c r="AP194" s="21" t="s">
        <v>162</v>
      </c>
      <c r="AQ194" s="10" t="s">
        <v>1155</v>
      </c>
      <c r="AR194" s="10" t="s">
        <v>1156</v>
      </c>
      <c r="AS194" s="10" t="s">
        <v>162</v>
      </c>
      <c r="AT194" s="10" t="s">
        <v>1157</v>
      </c>
      <c r="AU194" s="10" t="s">
        <v>1158</v>
      </c>
      <c r="AV194" s="10" t="s">
        <v>162</v>
      </c>
      <c r="AW194" s="10"/>
    </row>
    <row r="195" spans="1:49">
      <c r="A195" s="10" t="s">
        <v>1159</v>
      </c>
      <c r="B195" s="21" t="s">
        <v>162</v>
      </c>
      <c r="C195" s="10" t="s">
        <v>163</v>
      </c>
      <c r="D195" s="74">
        <v>45371</v>
      </c>
      <c r="E195" s="79" t="s">
        <v>1154</v>
      </c>
      <c r="F195" s="75" t="str">
        <f>VLOOKUP($E195,'Item Classification'!B:C,2,0)</f>
        <v>Anti-aircraft surface-to-air missile (SAM) system (long-range)</v>
      </c>
      <c r="G195" s="10" t="str">
        <f>VLOOKUP($E195,'Item Classification'!B:D,3,0)</f>
        <v>Air defence system</v>
      </c>
      <c r="H195" s="76">
        <f>VLOOKUP($E195,'Item Classification'!B:E,4,0)</f>
        <v>5</v>
      </c>
      <c r="I195" s="81">
        <v>2</v>
      </c>
      <c r="J195" s="182">
        <f t="shared" si="2"/>
        <v>350000000</v>
      </c>
      <c r="K195" s="81" t="s">
        <v>162</v>
      </c>
      <c r="L195" s="81">
        <v>2029</v>
      </c>
      <c r="M195" s="183">
        <v>700000000</v>
      </c>
      <c r="N195" s="10" t="s">
        <v>784</v>
      </c>
      <c r="O195" s="21" t="s">
        <v>162</v>
      </c>
      <c r="P195" s="10" t="s">
        <v>163</v>
      </c>
      <c r="Q195" s="77">
        <v>51</v>
      </c>
      <c r="R195" s="77">
        <v>0</v>
      </c>
      <c r="S195" s="77">
        <v>0</v>
      </c>
      <c r="T195" s="77">
        <v>0</v>
      </c>
      <c r="U195" s="85">
        <v>0</v>
      </c>
      <c r="V195" s="85">
        <v>0</v>
      </c>
      <c r="W195" s="85">
        <v>0</v>
      </c>
      <c r="X195" s="85">
        <v>0</v>
      </c>
      <c r="Y195" s="10" t="s">
        <v>702</v>
      </c>
      <c r="Z195" s="5" t="s">
        <v>218</v>
      </c>
      <c r="AA195" s="10" t="s">
        <v>162</v>
      </c>
      <c r="AB195" s="10" t="s">
        <v>162</v>
      </c>
      <c r="AC195" s="21" t="s">
        <v>162</v>
      </c>
      <c r="AD195" s="21" t="s">
        <v>162</v>
      </c>
      <c r="AE195" s="21" t="s">
        <v>162</v>
      </c>
      <c r="AF195" s="10" t="s">
        <v>162</v>
      </c>
      <c r="AG195" s="10" t="s">
        <v>162</v>
      </c>
      <c r="AH195" s="21" t="s">
        <v>162</v>
      </c>
      <c r="AI195" s="21" t="s">
        <v>162</v>
      </c>
      <c r="AJ195" s="21" t="s">
        <v>162</v>
      </c>
      <c r="AK195" s="21" t="s">
        <v>162</v>
      </c>
      <c r="AL195" s="21" t="s">
        <v>162</v>
      </c>
      <c r="AM195" s="21" t="s">
        <v>162</v>
      </c>
      <c r="AN195" s="21" t="s">
        <v>162</v>
      </c>
      <c r="AO195" s="21" t="s">
        <v>162</v>
      </c>
      <c r="AP195" s="21" t="s">
        <v>162</v>
      </c>
      <c r="AQ195" s="10" t="s">
        <v>1155</v>
      </c>
      <c r="AR195" s="10" t="s">
        <v>1156</v>
      </c>
      <c r="AS195" s="10" t="s">
        <v>162</v>
      </c>
      <c r="AT195" s="10" t="s">
        <v>1157</v>
      </c>
      <c r="AU195" s="10" t="s">
        <v>1158</v>
      </c>
      <c r="AV195" s="10" t="s">
        <v>162</v>
      </c>
      <c r="AW195" s="10"/>
    </row>
    <row r="196" spans="1:49">
      <c r="A196" s="10" t="s">
        <v>1160</v>
      </c>
      <c r="B196" s="21" t="s">
        <v>162</v>
      </c>
      <c r="C196" s="10" t="s">
        <v>163</v>
      </c>
      <c r="D196" s="74">
        <v>45371</v>
      </c>
      <c r="E196" s="79" t="s">
        <v>710</v>
      </c>
      <c r="F196" s="75" t="str">
        <f>VLOOKUP($E196,'Item Classification'!B:C,2,0)</f>
        <v>Communication equipment</v>
      </c>
      <c r="G196" s="10" t="str">
        <f>VLOOKUP($E196,'Item Classification'!B:D,3,0)</f>
        <v>Modernisation</v>
      </c>
      <c r="H196" s="76">
        <f>VLOOKUP($E196,'Item Classification'!B:E,4,0)</f>
        <v>13</v>
      </c>
      <c r="I196" s="81">
        <v>30000</v>
      </c>
      <c r="J196" s="182">
        <f t="shared" si="2"/>
        <v>2700</v>
      </c>
      <c r="K196" s="81">
        <v>2024</v>
      </c>
      <c r="L196" s="81">
        <v>2024</v>
      </c>
      <c r="M196" s="183">
        <v>81000000</v>
      </c>
      <c r="N196" s="10" t="s">
        <v>165</v>
      </c>
      <c r="O196" s="10" t="s">
        <v>162</v>
      </c>
      <c r="P196" s="10" t="s">
        <v>163</v>
      </c>
      <c r="Q196" s="77">
        <v>51</v>
      </c>
      <c r="R196" s="77">
        <v>1</v>
      </c>
      <c r="S196" s="77">
        <v>0</v>
      </c>
      <c r="T196" s="77">
        <v>0</v>
      </c>
      <c r="U196" s="77">
        <v>1</v>
      </c>
      <c r="V196" s="77">
        <v>0</v>
      </c>
      <c r="W196" s="77">
        <v>0</v>
      </c>
      <c r="X196" s="77">
        <v>0</v>
      </c>
      <c r="Y196" s="10" t="s">
        <v>268</v>
      </c>
      <c r="Z196" s="21" t="s">
        <v>163</v>
      </c>
      <c r="AA196" s="21" t="s">
        <v>162</v>
      </c>
      <c r="AB196" s="10" t="s">
        <v>162</v>
      </c>
      <c r="AC196" s="21" t="s">
        <v>162</v>
      </c>
      <c r="AD196" s="21" t="s">
        <v>162</v>
      </c>
      <c r="AE196" s="21" t="s">
        <v>162</v>
      </c>
      <c r="AF196" s="10" t="s">
        <v>162</v>
      </c>
      <c r="AG196" s="10" t="s">
        <v>162</v>
      </c>
      <c r="AH196" s="21" t="s">
        <v>162</v>
      </c>
      <c r="AI196" s="21" t="s">
        <v>162</v>
      </c>
      <c r="AJ196" s="21" t="s">
        <v>162</v>
      </c>
      <c r="AK196" s="21" t="s">
        <v>162</v>
      </c>
      <c r="AL196" s="21" t="s">
        <v>162</v>
      </c>
      <c r="AM196" s="21" t="s">
        <v>162</v>
      </c>
      <c r="AN196" s="21" t="s">
        <v>162</v>
      </c>
      <c r="AO196" s="21" t="s">
        <v>162</v>
      </c>
      <c r="AP196" s="21" t="s">
        <v>162</v>
      </c>
      <c r="AQ196" s="10" t="s">
        <v>1155</v>
      </c>
      <c r="AR196" s="10" t="s">
        <v>1161</v>
      </c>
      <c r="AS196" s="10" t="s">
        <v>1162</v>
      </c>
      <c r="AT196" s="10" t="s">
        <v>1163</v>
      </c>
      <c r="AU196" s="10" t="s">
        <v>1164</v>
      </c>
      <c r="AV196" s="10" t="s">
        <v>162</v>
      </c>
      <c r="AW196" s="10"/>
    </row>
    <row r="197" spans="1:49">
      <c r="A197" s="10" t="s">
        <v>1165</v>
      </c>
      <c r="B197" s="21" t="s">
        <v>162</v>
      </c>
      <c r="C197" s="10" t="s">
        <v>163</v>
      </c>
      <c r="D197" s="74">
        <v>45371</v>
      </c>
      <c r="E197" s="10" t="s">
        <v>1166</v>
      </c>
      <c r="F197" s="75" t="str">
        <f>VLOOKUP($E197,'Item Classification'!B:C,2,0)</f>
        <v>Light tank</v>
      </c>
      <c r="G197" s="10" t="str">
        <f>VLOOKUP($E197,'Item Classification'!B:D,3,0)</f>
        <v>Armoured vehicle</v>
      </c>
      <c r="H197" s="76">
        <f>VLOOKUP($E197,'Item Classification'!B:E,4,0)</f>
        <v>2</v>
      </c>
      <c r="I197" s="81">
        <v>123</v>
      </c>
      <c r="J197" s="182">
        <f t="shared" si="2"/>
        <v>15772357.723577235</v>
      </c>
      <c r="K197" s="81">
        <v>2025</v>
      </c>
      <c r="L197" s="81">
        <v>2030</v>
      </c>
      <c r="M197" s="183">
        <v>1940000000</v>
      </c>
      <c r="N197" s="10" t="s">
        <v>665</v>
      </c>
      <c r="O197" s="10" t="s">
        <v>162</v>
      </c>
      <c r="P197" s="10" t="s">
        <v>163</v>
      </c>
      <c r="Q197" s="77">
        <v>51</v>
      </c>
      <c r="R197" s="77">
        <v>0</v>
      </c>
      <c r="S197" s="77">
        <v>0</v>
      </c>
      <c r="T197" s="77">
        <v>0</v>
      </c>
      <c r="U197" s="77">
        <v>1</v>
      </c>
      <c r="V197" s="77">
        <v>0</v>
      </c>
      <c r="W197" s="77">
        <v>1</v>
      </c>
      <c r="X197" s="77">
        <v>0</v>
      </c>
      <c r="Y197" s="10" t="s">
        <v>268</v>
      </c>
      <c r="Z197" s="10" t="s">
        <v>163</v>
      </c>
      <c r="AA197" s="10" t="s">
        <v>527</v>
      </c>
      <c r="AB197" s="21" t="s">
        <v>162</v>
      </c>
      <c r="AC197" s="21" t="s">
        <v>162</v>
      </c>
      <c r="AD197" s="21" t="s">
        <v>162</v>
      </c>
      <c r="AE197" s="21" t="s">
        <v>162</v>
      </c>
      <c r="AF197" s="10" t="s">
        <v>162</v>
      </c>
      <c r="AG197" s="10" t="s">
        <v>162</v>
      </c>
      <c r="AH197" s="21" t="s">
        <v>162</v>
      </c>
      <c r="AI197" s="21" t="s">
        <v>162</v>
      </c>
      <c r="AJ197" s="21" t="s">
        <v>162</v>
      </c>
      <c r="AK197" s="21" t="s">
        <v>162</v>
      </c>
      <c r="AL197" s="21" t="s">
        <v>162</v>
      </c>
      <c r="AM197" s="21" t="s">
        <v>162</v>
      </c>
      <c r="AN197" s="21" t="s">
        <v>162</v>
      </c>
      <c r="AO197" s="21" t="s">
        <v>162</v>
      </c>
      <c r="AP197" s="21" t="s">
        <v>162</v>
      </c>
      <c r="AQ197" s="177" t="s">
        <v>1167</v>
      </c>
      <c r="AR197" s="10" t="s">
        <v>1168</v>
      </c>
      <c r="AS197" s="10" t="s">
        <v>162</v>
      </c>
      <c r="AT197" s="10" t="s">
        <v>1169</v>
      </c>
      <c r="AU197" s="10" t="s">
        <v>1170</v>
      </c>
      <c r="AV197" s="10" t="s">
        <v>1171</v>
      </c>
      <c r="AW197" s="10" t="s">
        <v>162</v>
      </c>
    </row>
    <row r="198" spans="1:49">
      <c r="A198" s="10" t="s">
        <v>1172</v>
      </c>
      <c r="B198" s="21" t="s">
        <v>162</v>
      </c>
      <c r="C198" s="10" t="s">
        <v>163</v>
      </c>
      <c r="D198" s="74">
        <v>45371</v>
      </c>
      <c r="E198" s="10" t="s">
        <v>1173</v>
      </c>
      <c r="F198" s="75" t="str">
        <f>VLOOKUP($E198,'Item Classification'!B:C,2,0)</f>
        <v>Armored fighting vehicle maintenance</v>
      </c>
      <c r="G198" s="10" t="str">
        <f>VLOOKUP($E198,'Item Classification'!B:D,3,0)</f>
        <v>Maintenance</v>
      </c>
      <c r="H198" s="76">
        <f>VLOOKUP($E198,'Item Classification'!B:E,4,0)</f>
        <v>14</v>
      </c>
      <c r="I198" s="81">
        <v>5</v>
      </c>
      <c r="J198" s="182">
        <f t="shared" si="2"/>
        <v>149380000</v>
      </c>
      <c r="K198" s="81">
        <v>2025</v>
      </c>
      <c r="L198" s="81">
        <v>2030</v>
      </c>
      <c r="M198" s="183">
        <v>746900000</v>
      </c>
      <c r="N198" s="10" t="s">
        <v>665</v>
      </c>
      <c r="O198" s="10" t="s">
        <v>162</v>
      </c>
      <c r="P198" s="10" t="s">
        <v>163</v>
      </c>
      <c r="Q198" s="77">
        <v>51</v>
      </c>
      <c r="R198" s="77">
        <v>0</v>
      </c>
      <c r="S198" s="77">
        <v>0</v>
      </c>
      <c r="T198" s="77">
        <v>0</v>
      </c>
      <c r="U198" s="77">
        <v>1</v>
      </c>
      <c r="V198" s="77">
        <v>0</v>
      </c>
      <c r="W198" s="77">
        <v>0</v>
      </c>
      <c r="X198" s="77">
        <v>0</v>
      </c>
      <c r="Y198" s="10" t="s">
        <v>268</v>
      </c>
      <c r="Z198" s="10" t="s">
        <v>163</v>
      </c>
      <c r="AA198" s="10" t="s">
        <v>162</v>
      </c>
      <c r="AB198" s="10" t="s">
        <v>162</v>
      </c>
      <c r="AC198" s="21" t="s">
        <v>162</v>
      </c>
      <c r="AD198" s="21" t="s">
        <v>162</v>
      </c>
      <c r="AE198" s="21" t="s">
        <v>162</v>
      </c>
      <c r="AF198" s="10" t="s">
        <v>162</v>
      </c>
      <c r="AG198" s="10" t="s">
        <v>162</v>
      </c>
      <c r="AH198" s="21" t="s">
        <v>162</v>
      </c>
      <c r="AI198" s="21" t="s">
        <v>162</v>
      </c>
      <c r="AJ198" s="21" t="s">
        <v>162</v>
      </c>
      <c r="AK198" s="21" t="s">
        <v>162</v>
      </c>
      <c r="AL198" s="21" t="s">
        <v>162</v>
      </c>
      <c r="AM198" s="21" t="s">
        <v>162</v>
      </c>
      <c r="AN198" s="21" t="s">
        <v>162</v>
      </c>
      <c r="AO198" s="21" t="s">
        <v>162</v>
      </c>
      <c r="AP198" s="21" t="s">
        <v>162</v>
      </c>
      <c r="AQ198" s="10" t="s">
        <v>1167</v>
      </c>
      <c r="AR198" s="10" t="s">
        <v>162</v>
      </c>
      <c r="AS198" s="10" t="s">
        <v>162</v>
      </c>
      <c r="AT198" s="10" t="s">
        <v>1169</v>
      </c>
      <c r="AU198" s="10" t="s">
        <v>1170</v>
      </c>
      <c r="AV198" s="10" t="s">
        <v>1171</v>
      </c>
      <c r="AW198" s="10" t="s">
        <v>162</v>
      </c>
    </row>
    <row r="199" spans="1:49">
      <c r="A199" s="10" t="s">
        <v>1174</v>
      </c>
      <c r="B199" s="21" t="s">
        <v>162</v>
      </c>
      <c r="C199" s="10" t="s">
        <v>163</v>
      </c>
      <c r="D199" s="74">
        <v>45392</v>
      </c>
      <c r="E199" s="79" t="s">
        <v>1175</v>
      </c>
      <c r="F199" s="75" t="str">
        <f>VLOOKUP($E199,'Item Classification'!B:C,2,0)</f>
        <v>Infantry fighting vehicle (IFV) equipment</v>
      </c>
      <c r="G199" s="10" t="str">
        <f>VLOOKUP($E199,'Item Classification'!B:D,3,0)</f>
        <v>Armoured vehicle</v>
      </c>
      <c r="H199" s="76">
        <f>VLOOKUP($E199,'Item Classification'!B:E,4,0)</f>
        <v>2</v>
      </c>
      <c r="I199" s="81">
        <v>258</v>
      </c>
      <c r="J199" s="182">
        <f t="shared" si="2"/>
        <v>422480.62015503878</v>
      </c>
      <c r="K199" s="81" t="s">
        <v>162</v>
      </c>
      <c r="L199" s="81">
        <v>2026</v>
      </c>
      <c r="M199" s="183">
        <v>109000000</v>
      </c>
      <c r="N199" s="10" t="s">
        <v>665</v>
      </c>
      <c r="O199" s="21" t="s">
        <v>162</v>
      </c>
      <c r="P199" s="10" t="s">
        <v>163</v>
      </c>
      <c r="Q199" s="77">
        <v>52</v>
      </c>
      <c r="R199" s="77">
        <v>0</v>
      </c>
      <c r="S199" s="77">
        <v>0</v>
      </c>
      <c r="T199" s="77">
        <v>0</v>
      </c>
      <c r="U199" s="77">
        <v>1</v>
      </c>
      <c r="V199" s="77">
        <v>0</v>
      </c>
      <c r="W199" s="77">
        <v>0</v>
      </c>
      <c r="X199" s="77">
        <v>0</v>
      </c>
      <c r="Y199" s="21" t="s">
        <v>268</v>
      </c>
      <c r="Z199" s="21" t="s">
        <v>163</v>
      </c>
      <c r="AA199" s="21" t="s">
        <v>162</v>
      </c>
      <c r="AB199" s="21" t="s">
        <v>1176</v>
      </c>
      <c r="AC199" s="21" t="s">
        <v>162</v>
      </c>
      <c r="AD199" s="21" t="s">
        <v>162</v>
      </c>
      <c r="AE199" s="21" t="s">
        <v>162</v>
      </c>
      <c r="AF199" s="21" t="s">
        <v>162</v>
      </c>
      <c r="AG199" s="21" t="s">
        <v>162</v>
      </c>
      <c r="AH199" s="21" t="s">
        <v>162</v>
      </c>
      <c r="AI199" s="21" t="s">
        <v>162</v>
      </c>
      <c r="AJ199" s="21" t="s">
        <v>162</v>
      </c>
      <c r="AK199" s="21" t="s">
        <v>162</v>
      </c>
      <c r="AL199" s="21" t="s">
        <v>162</v>
      </c>
      <c r="AM199" s="21" t="s">
        <v>162</v>
      </c>
      <c r="AN199" s="21" t="s">
        <v>162</v>
      </c>
      <c r="AO199" s="21" t="s">
        <v>162</v>
      </c>
      <c r="AP199" s="21" t="s">
        <v>162</v>
      </c>
      <c r="AQ199" s="10" t="s">
        <v>1177</v>
      </c>
      <c r="AR199" s="21" t="s">
        <v>1178</v>
      </c>
      <c r="AS199" s="21" t="s">
        <v>162</v>
      </c>
      <c r="AT199" s="21" t="s">
        <v>1179</v>
      </c>
      <c r="AU199" s="21" t="s">
        <v>1180</v>
      </c>
      <c r="AV199" s="21" t="s">
        <v>162</v>
      </c>
      <c r="AW199" s="10"/>
    </row>
    <row r="200" spans="1:49">
      <c r="A200" s="10" t="s">
        <v>1181</v>
      </c>
      <c r="B200" s="10" t="s">
        <v>1182</v>
      </c>
      <c r="C200" s="10" t="s">
        <v>163</v>
      </c>
      <c r="D200" s="74">
        <v>45392</v>
      </c>
      <c r="E200" s="21" t="s">
        <v>1183</v>
      </c>
      <c r="F200" s="75" t="str">
        <f>VLOOKUP($E200,'Item Classification'!B:C,2,0)</f>
        <v>70mm attack helicopter rocket</v>
      </c>
      <c r="G200" s="10" t="str">
        <f>VLOOKUP($E200,'Item Classification'!B:D,3,0)</f>
        <v>Ammunition</v>
      </c>
      <c r="H200" s="76">
        <f>VLOOKUP($E200,'Item Classification'!B:E,4,0)</f>
        <v>4</v>
      </c>
      <c r="I200" s="81">
        <v>15180</v>
      </c>
      <c r="J200" s="182">
        <f t="shared" si="2"/>
        <v>3557.312252964427</v>
      </c>
      <c r="K200" s="81">
        <v>2024</v>
      </c>
      <c r="L200" s="81">
        <v>2026</v>
      </c>
      <c r="M200" s="183">
        <v>54000000</v>
      </c>
      <c r="N200" s="10" t="s">
        <v>665</v>
      </c>
      <c r="O200" s="21" t="s">
        <v>162</v>
      </c>
      <c r="P200" s="10" t="s">
        <v>163</v>
      </c>
      <c r="Q200" s="77">
        <v>52</v>
      </c>
      <c r="R200" s="77">
        <v>1</v>
      </c>
      <c r="S200" s="77">
        <v>0</v>
      </c>
      <c r="T200" s="77">
        <v>0</v>
      </c>
      <c r="U200" s="77">
        <v>1</v>
      </c>
      <c r="V200" s="77">
        <v>1</v>
      </c>
      <c r="W200" s="77">
        <v>0</v>
      </c>
      <c r="X200" s="77">
        <v>1</v>
      </c>
      <c r="Y200" s="21" t="s">
        <v>268</v>
      </c>
      <c r="Z200" s="21" t="s">
        <v>163</v>
      </c>
      <c r="AA200" s="21" t="s">
        <v>162</v>
      </c>
      <c r="AB200" s="21" t="s">
        <v>1184</v>
      </c>
      <c r="AC200" s="21" t="s">
        <v>162</v>
      </c>
      <c r="AD200" s="21" t="s">
        <v>162</v>
      </c>
      <c r="AE200" s="21" t="s">
        <v>162</v>
      </c>
      <c r="AF200" s="21" t="s">
        <v>178</v>
      </c>
      <c r="AG200" s="21" t="s">
        <v>162</v>
      </c>
      <c r="AH200" s="21" t="s">
        <v>162</v>
      </c>
      <c r="AI200" s="21" t="s">
        <v>162</v>
      </c>
      <c r="AJ200" s="21" t="s">
        <v>162</v>
      </c>
      <c r="AK200" s="21" t="s">
        <v>162</v>
      </c>
      <c r="AL200" s="21" t="s">
        <v>162</v>
      </c>
      <c r="AM200" s="21" t="s">
        <v>162</v>
      </c>
      <c r="AN200" s="21" t="s">
        <v>162</v>
      </c>
      <c r="AO200" s="21" t="s">
        <v>162</v>
      </c>
      <c r="AP200" s="21" t="s">
        <v>162</v>
      </c>
      <c r="AQ200" s="21" t="s">
        <v>1177</v>
      </c>
      <c r="AR200" s="21" t="s">
        <v>1185</v>
      </c>
      <c r="AS200" s="21" t="s">
        <v>1186</v>
      </c>
      <c r="AT200" s="21" t="s">
        <v>1187</v>
      </c>
      <c r="AU200" s="21" t="s">
        <v>1188</v>
      </c>
      <c r="AV200" s="21" t="s">
        <v>162</v>
      </c>
      <c r="AW200" s="10"/>
    </row>
    <row r="201" spans="1:49">
      <c r="A201" s="21" t="s">
        <v>1189</v>
      </c>
      <c r="B201" s="21" t="s">
        <v>1190</v>
      </c>
      <c r="C201" s="21" t="s">
        <v>163</v>
      </c>
      <c r="D201" s="87">
        <v>45406</v>
      </c>
      <c r="E201" s="10" t="s">
        <v>162</v>
      </c>
      <c r="F201" s="21" t="s">
        <v>162</v>
      </c>
      <c r="G201" s="21" t="s">
        <v>599</v>
      </c>
      <c r="H201" s="76" t="s">
        <v>1191</v>
      </c>
      <c r="I201" s="81" t="s">
        <v>162</v>
      </c>
      <c r="J201" s="81" t="s">
        <v>162</v>
      </c>
      <c r="K201" s="81" t="s">
        <v>162</v>
      </c>
      <c r="L201" s="81" t="s">
        <v>162</v>
      </c>
      <c r="M201" s="183">
        <v>217000000</v>
      </c>
      <c r="N201" s="21" t="s">
        <v>665</v>
      </c>
      <c r="O201" s="21" t="s">
        <v>162</v>
      </c>
      <c r="P201" s="10" t="s">
        <v>163</v>
      </c>
      <c r="Q201" s="77">
        <v>52</v>
      </c>
      <c r="R201" s="77">
        <v>1</v>
      </c>
      <c r="S201" s="77">
        <v>0</v>
      </c>
      <c r="T201" s="77">
        <v>0</v>
      </c>
      <c r="U201" s="77">
        <v>1</v>
      </c>
      <c r="V201" s="77">
        <v>1</v>
      </c>
      <c r="W201" s="77">
        <v>0</v>
      </c>
      <c r="X201" s="77">
        <v>1</v>
      </c>
      <c r="Y201" s="21" t="s">
        <v>162</v>
      </c>
      <c r="Z201" s="21" t="s">
        <v>163</v>
      </c>
      <c r="AA201" s="21" t="s">
        <v>162</v>
      </c>
      <c r="AB201" s="21" t="s">
        <v>162</v>
      </c>
      <c r="AC201" s="21" t="s">
        <v>162</v>
      </c>
      <c r="AD201" s="21" t="s">
        <v>162</v>
      </c>
      <c r="AE201" s="21" t="s">
        <v>162</v>
      </c>
      <c r="AF201" s="21" t="s">
        <v>219</v>
      </c>
      <c r="AG201" s="21" t="s">
        <v>176</v>
      </c>
      <c r="AH201" s="21" t="s">
        <v>181</v>
      </c>
      <c r="AI201" s="21" t="s">
        <v>162</v>
      </c>
      <c r="AJ201" s="21" t="s">
        <v>162</v>
      </c>
      <c r="AK201" s="21" t="s">
        <v>162</v>
      </c>
      <c r="AL201" s="21" t="s">
        <v>162</v>
      </c>
      <c r="AM201" s="21" t="s">
        <v>162</v>
      </c>
      <c r="AN201" s="21" t="s">
        <v>162</v>
      </c>
      <c r="AO201" s="21" t="s">
        <v>162</v>
      </c>
      <c r="AP201" s="21" t="s">
        <v>162</v>
      </c>
      <c r="AQ201" s="21" t="s">
        <v>280</v>
      </c>
      <c r="AR201" s="21" t="s">
        <v>1192</v>
      </c>
      <c r="AS201" s="21" t="s">
        <v>1193</v>
      </c>
      <c r="AT201" s="21" t="s">
        <v>1194</v>
      </c>
      <c r="AU201" s="21" t="s">
        <v>1195</v>
      </c>
      <c r="AV201" s="21" t="s">
        <v>162</v>
      </c>
      <c r="AW201" s="10"/>
    </row>
    <row r="202" spans="1:49">
      <c r="A202" s="21" t="s">
        <v>1196</v>
      </c>
      <c r="B202" s="21" t="s">
        <v>1190</v>
      </c>
      <c r="C202" s="21" t="s">
        <v>163</v>
      </c>
      <c r="D202" s="87">
        <v>45406</v>
      </c>
      <c r="E202" s="21" t="s">
        <v>1197</v>
      </c>
      <c r="F202" s="75" t="str">
        <f>VLOOKUP($E202,'Item Classification'!B:C,2,0)</f>
        <v>Multi role transport helicopter</v>
      </c>
      <c r="G202" s="10" t="str">
        <f>VLOOKUP($E202,'Item Classification'!B:D,3,0)</f>
        <v>Helicopter</v>
      </c>
      <c r="H202" s="76">
        <f>VLOOKUP($E202,'Item Classification'!B:E,4,0)</f>
        <v>10</v>
      </c>
      <c r="I202" s="81">
        <v>82</v>
      </c>
      <c r="J202" s="81" t="s">
        <v>162</v>
      </c>
      <c r="K202" s="81" t="s">
        <v>162</v>
      </c>
      <c r="L202" s="81" t="s">
        <v>162</v>
      </c>
      <c r="M202" s="81" t="s">
        <v>162</v>
      </c>
      <c r="N202" s="21" t="s">
        <v>665</v>
      </c>
      <c r="O202" s="21" t="s">
        <v>162</v>
      </c>
      <c r="P202" s="10" t="s">
        <v>163</v>
      </c>
      <c r="Q202" s="77">
        <v>52</v>
      </c>
      <c r="R202" s="77">
        <v>1</v>
      </c>
      <c r="S202" s="77">
        <v>0</v>
      </c>
      <c r="T202" s="77">
        <v>0</v>
      </c>
      <c r="U202" s="77">
        <v>1</v>
      </c>
      <c r="V202" s="77">
        <v>1</v>
      </c>
      <c r="W202" s="77">
        <v>0</v>
      </c>
      <c r="X202" s="77">
        <v>1</v>
      </c>
      <c r="Y202" s="21" t="s">
        <v>162</v>
      </c>
      <c r="Z202" s="21" t="s">
        <v>163</v>
      </c>
      <c r="AA202" s="21" t="s">
        <v>162</v>
      </c>
      <c r="AB202" s="21" t="s">
        <v>162</v>
      </c>
      <c r="AC202" s="21" t="s">
        <v>162</v>
      </c>
      <c r="AD202" s="21" t="s">
        <v>162</v>
      </c>
      <c r="AE202" s="21" t="s">
        <v>162</v>
      </c>
      <c r="AF202" s="21" t="s">
        <v>219</v>
      </c>
      <c r="AG202" s="21" t="s">
        <v>176</v>
      </c>
      <c r="AH202" s="21" t="s">
        <v>181</v>
      </c>
      <c r="AI202" s="21" t="s">
        <v>162</v>
      </c>
      <c r="AJ202" s="21" t="s">
        <v>162</v>
      </c>
      <c r="AK202" s="21" t="s">
        <v>162</v>
      </c>
      <c r="AL202" s="21" t="s">
        <v>162</v>
      </c>
      <c r="AM202" s="21" t="s">
        <v>162</v>
      </c>
      <c r="AN202" s="21" t="s">
        <v>162</v>
      </c>
      <c r="AO202" s="21" t="s">
        <v>162</v>
      </c>
      <c r="AP202" s="21" t="s">
        <v>162</v>
      </c>
      <c r="AQ202" s="21" t="s">
        <v>280</v>
      </c>
      <c r="AR202" s="21" t="s">
        <v>1192</v>
      </c>
      <c r="AS202" s="21" t="s">
        <v>1193</v>
      </c>
      <c r="AT202" s="21" t="s">
        <v>1194</v>
      </c>
      <c r="AU202" s="21" t="s">
        <v>1195</v>
      </c>
      <c r="AV202" s="21" t="s">
        <v>162</v>
      </c>
      <c r="AW202" s="10"/>
    </row>
    <row r="203" spans="1:49">
      <c r="A203" s="21" t="s">
        <v>1198</v>
      </c>
      <c r="B203" s="21" t="s">
        <v>1190</v>
      </c>
      <c r="C203" s="21" t="s">
        <v>163</v>
      </c>
      <c r="D203" s="87">
        <v>45406</v>
      </c>
      <c r="E203" s="10" t="s">
        <v>1199</v>
      </c>
      <c r="F203" s="75" t="str">
        <f>VLOOKUP($E203,'Item Classification'!B:C,2,0)</f>
        <v>Maritime multi-role frigate helicopter</v>
      </c>
      <c r="G203" s="10" t="str">
        <f>VLOOKUP($E203,'Item Classification'!B:D,3,0)</f>
        <v>Naval</v>
      </c>
      <c r="H203" s="76">
        <f>VLOOKUP($E203,'Item Classification'!B:E,4,0)</f>
        <v>12</v>
      </c>
      <c r="I203" s="81">
        <v>18</v>
      </c>
      <c r="J203" s="81" t="s">
        <v>162</v>
      </c>
      <c r="K203" s="81" t="s">
        <v>162</v>
      </c>
      <c r="L203" s="81" t="s">
        <v>162</v>
      </c>
      <c r="M203" s="81" t="s">
        <v>162</v>
      </c>
      <c r="N203" s="21" t="s">
        <v>665</v>
      </c>
      <c r="O203" s="21" t="s">
        <v>162</v>
      </c>
      <c r="P203" s="10" t="s">
        <v>163</v>
      </c>
      <c r="Q203" s="77">
        <v>52</v>
      </c>
      <c r="R203" s="77">
        <v>1</v>
      </c>
      <c r="S203" s="77">
        <v>0</v>
      </c>
      <c r="T203" s="77">
        <v>0</v>
      </c>
      <c r="U203" s="77">
        <v>1</v>
      </c>
      <c r="V203" s="77">
        <v>1</v>
      </c>
      <c r="W203" s="77">
        <v>0</v>
      </c>
      <c r="X203" s="77">
        <v>1</v>
      </c>
      <c r="Y203" s="21" t="s">
        <v>162</v>
      </c>
      <c r="Z203" s="21" t="s">
        <v>163</v>
      </c>
      <c r="AA203" s="21" t="s">
        <v>162</v>
      </c>
      <c r="AB203" s="21" t="s">
        <v>162</v>
      </c>
      <c r="AC203" s="21" t="s">
        <v>162</v>
      </c>
      <c r="AD203" s="21" t="s">
        <v>162</v>
      </c>
      <c r="AE203" s="21" t="s">
        <v>162</v>
      </c>
      <c r="AF203" s="21" t="s">
        <v>219</v>
      </c>
      <c r="AG203" s="21" t="s">
        <v>176</v>
      </c>
      <c r="AH203" s="21" t="s">
        <v>181</v>
      </c>
      <c r="AI203" s="21" t="s">
        <v>162</v>
      </c>
      <c r="AJ203" s="21" t="s">
        <v>162</v>
      </c>
      <c r="AK203" s="21" t="s">
        <v>162</v>
      </c>
      <c r="AL203" s="21" t="s">
        <v>162</v>
      </c>
      <c r="AM203" s="21" t="s">
        <v>162</v>
      </c>
      <c r="AN203" s="21" t="s">
        <v>162</v>
      </c>
      <c r="AO203" s="21" t="s">
        <v>162</v>
      </c>
      <c r="AP203" s="21" t="s">
        <v>162</v>
      </c>
      <c r="AQ203" s="21" t="s">
        <v>280</v>
      </c>
      <c r="AR203" s="21" t="s">
        <v>1192</v>
      </c>
      <c r="AS203" s="21" t="s">
        <v>1193</v>
      </c>
      <c r="AT203" s="21" t="s">
        <v>1194</v>
      </c>
      <c r="AU203" s="21" t="s">
        <v>1195</v>
      </c>
      <c r="AV203" s="21" t="s">
        <v>162</v>
      </c>
      <c r="AW203" s="10"/>
    </row>
    <row r="204" spans="1:49">
      <c r="A204" s="21" t="s">
        <v>1200</v>
      </c>
      <c r="B204" s="21" t="s">
        <v>162</v>
      </c>
      <c r="C204" s="21" t="s">
        <v>163</v>
      </c>
      <c r="D204" s="87">
        <v>45406</v>
      </c>
      <c r="E204" s="21" t="s">
        <v>1201</v>
      </c>
      <c r="F204" s="75" t="str">
        <f>VLOOKUP($E204,'Item Classification'!B:C,2,0)</f>
        <v>Fighter jet development</v>
      </c>
      <c r="G204" s="10" t="str">
        <f>VLOOKUP($E204,'Item Classification'!B:D,3,0)</f>
        <v>Development - Aircraft</v>
      </c>
      <c r="H204" s="76">
        <f>VLOOKUP($E204,'Item Classification'!B:E,4,0)</f>
        <v>15</v>
      </c>
      <c r="I204" s="81" t="s">
        <v>162</v>
      </c>
      <c r="J204" s="81" t="s">
        <v>162</v>
      </c>
      <c r="K204" s="81" t="s">
        <v>162</v>
      </c>
      <c r="L204" s="81" t="s">
        <v>162</v>
      </c>
      <c r="M204" s="183">
        <v>97000000</v>
      </c>
      <c r="N204" s="21" t="s">
        <v>665</v>
      </c>
      <c r="O204" s="21" t="s">
        <v>162</v>
      </c>
      <c r="P204" s="10" t="s">
        <v>163</v>
      </c>
      <c r="Q204" s="77">
        <v>52</v>
      </c>
      <c r="R204" s="77">
        <v>0</v>
      </c>
      <c r="S204" s="77">
        <v>0</v>
      </c>
      <c r="T204" s="77">
        <v>0</v>
      </c>
      <c r="U204" s="77">
        <v>1</v>
      </c>
      <c r="V204" s="77">
        <v>1</v>
      </c>
      <c r="W204" s="77">
        <v>0</v>
      </c>
      <c r="X204" s="77">
        <v>1</v>
      </c>
      <c r="Y204" s="21" t="s">
        <v>179</v>
      </c>
      <c r="Z204" s="21" t="s">
        <v>163</v>
      </c>
      <c r="AA204" s="21" t="s">
        <v>163</v>
      </c>
      <c r="AB204" s="21" t="s">
        <v>1202</v>
      </c>
      <c r="AC204" s="21" t="s">
        <v>364</v>
      </c>
      <c r="AD204" s="21" t="s">
        <v>189</v>
      </c>
      <c r="AE204" s="21" t="s">
        <v>162</v>
      </c>
      <c r="AF204" s="21" t="s">
        <v>689</v>
      </c>
      <c r="AG204" s="21" t="s">
        <v>219</v>
      </c>
      <c r="AH204" s="21" t="s">
        <v>190</v>
      </c>
      <c r="AI204" s="21" t="s">
        <v>162</v>
      </c>
      <c r="AJ204" s="21" t="s">
        <v>162</v>
      </c>
      <c r="AK204" s="21" t="s">
        <v>162</v>
      </c>
      <c r="AL204" s="21" t="s">
        <v>162</v>
      </c>
      <c r="AM204" s="21" t="s">
        <v>162</v>
      </c>
      <c r="AN204" s="21" t="s">
        <v>162</v>
      </c>
      <c r="AO204" s="21" t="s">
        <v>162</v>
      </c>
      <c r="AP204" s="21" t="s">
        <v>162</v>
      </c>
      <c r="AQ204" s="21" t="s">
        <v>280</v>
      </c>
      <c r="AR204" s="21" t="s">
        <v>1203</v>
      </c>
      <c r="AS204" s="21" t="s">
        <v>1193</v>
      </c>
      <c r="AT204" s="21" t="s">
        <v>1204</v>
      </c>
      <c r="AU204" s="21" t="s">
        <v>162</v>
      </c>
      <c r="AV204" s="21" t="s">
        <v>162</v>
      </c>
      <c r="AW204" s="10"/>
    </row>
    <row r="205" spans="1:49">
      <c r="A205" s="21" t="s">
        <v>1205</v>
      </c>
      <c r="B205" s="21" t="s">
        <v>162</v>
      </c>
      <c r="C205" s="21" t="s">
        <v>163</v>
      </c>
      <c r="D205" s="87">
        <v>45406</v>
      </c>
      <c r="E205" s="21" t="s">
        <v>1206</v>
      </c>
      <c r="F205" s="75" t="str">
        <f>VLOOKUP($E205,'Item Classification'!B:C,2,0)</f>
        <v>Fighter aircraft support system</v>
      </c>
      <c r="G205" s="10" t="str">
        <f>VLOOKUP($E205,'Item Classification'!B:D,3,0)</f>
        <v>Aircraft</v>
      </c>
      <c r="H205" s="76">
        <f>VLOOKUP($E205,'Item Classification'!B:E,4,0)</f>
        <v>11</v>
      </c>
      <c r="I205" s="81" t="s">
        <v>162</v>
      </c>
      <c r="J205" s="81" t="s">
        <v>162</v>
      </c>
      <c r="K205" s="81" t="s">
        <v>162</v>
      </c>
      <c r="L205" s="81" t="s">
        <v>162</v>
      </c>
      <c r="M205" s="183">
        <v>43000000</v>
      </c>
      <c r="N205" s="21" t="s">
        <v>665</v>
      </c>
      <c r="O205" s="21" t="s">
        <v>162</v>
      </c>
      <c r="P205" s="10" t="s">
        <v>163</v>
      </c>
      <c r="Q205" s="77">
        <v>52</v>
      </c>
      <c r="R205" s="77">
        <v>0</v>
      </c>
      <c r="S205" s="77">
        <v>0</v>
      </c>
      <c r="T205" s="77">
        <v>0</v>
      </c>
      <c r="U205" s="77">
        <v>1</v>
      </c>
      <c r="V205" s="77">
        <v>1</v>
      </c>
      <c r="W205" s="77">
        <v>0</v>
      </c>
      <c r="X205" s="77">
        <v>1</v>
      </c>
      <c r="Y205" s="21" t="s">
        <v>162</v>
      </c>
      <c r="Z205" s="21" t="s">
        <v>163</v>
      </c>
      <c r="AA205" s="21" t="s">
        <v>162</v>
      </c>
      <c r="AB205" s="21" t="s">
        <v>162</v>
      </c>
      <c r="AC205" s="21" t="s">
        <v>162</v>
      </c>
      <c r="AD205" s="21" t="s">
        <v>162</v>
      </c>
      <c r="AE205" s="21" t="s">
        <v>162</v>
      </c>
      <c r="AF205" s="21" t="s">
        <v>689</v>
      </c>
      <c r="AG205" s="21" t="s">
        <v>219</v>
      </c>
      <c r="AH205" s="21" t="s">
        <v>190</v>
      </c>
      <c r="AI205" s="21" t="s">
        <v>162</v>
      </c>
      <c r="AJ205" s="21" t="s">
        <v>162</v>
      </c>
      <c r="AK205" s="21" t="s">
        <v>162</v>
      </c>
      <c r="AL205" s="21" t="s">
        <v>162</v>
      </c>
      <c r="AM205" s="21" t="s">
        <v>162</v>
      </c>
      <c r="AN205" s="21" t="s">
        <v>162</v>
      </c>
      <c r="AO205" s="21" t="s">
        <v>162</v>
      </c>
      <c r="AP205" s="21" t="s">
        <v>162</v>
      </c>
      <c r="AQ205" s="21" t="s">
        <v>280</v>
      </c>
      <c r="AR205" s="21" t="s">
        <v>1193</v>
      </c>
      <c r="AS205" s="21" t="s">
        <v>162</v>
      </c>
      <c r="AT205" s="21" t="s">
        <v>1207</v>
      </c>
      <c r="AU205" s="21" t="s">
        <v>1208</v>
      </c>
      <c r="AV205" s="21" t="s">
        <v>162</v>
      </c>
      <c r="AW205" s="10"/>
    </row>
    <row r="206" spans="1:49">
      <c r="A206" s="21" t="s">
        <v>1209</v>
      </c>
      <c r="B206" s="21" t="s">
        <v>162</v>
      </c>
      <c r="C206" s="21" t="s">
        <v>163</v>
      </c>
      <c r="D206" s="87">
        <v>45406</v>
      </c>
      <c r="E206" s="21" t="s">
        <v>1210</v>
      </c>
      <c r="F206" s="75" t="str">
        <f>VLOOKUP($E206,'Item Classification'!B:C,2,0)</f>
        <v>Smoke hand grenade</v>
      </c>
      <c r="G206" s="10" t="str">
        <f>VLOOKUP($E206,'Item Classification'!B:D,3,0)</f>
        <v>Infantry</v>
      </c>
      <c r="H206" s="76">
        <f>VLOOKUP($E206,'Item Classification'!B:E,4,0)</f>
        <v>8</v>
      </c>
      <c r="I206" s="81">
        <v>962860</v>
      </c>
      <c r="J206" s="182">
        <f>M206/I206</f>
        <v>69.584363251147622</v>
      </c>
      <c r="K206" s="81" t="s">
        <v>162</v>
      </c>
      <c r="L206" s="81">
        <v>2027</v>
      </c>
      <c r="M206" s="183">
        <v>67000000</v>
      </c>
      <c r="N206" s="21" t="s">
        <v>665</v>
      </c>
      <c r="O206" s="21" t="s">
        <v>162</v>
      </c>
      <c r="P206" s="10" t="s">
        <v>163</v>
      </c>
      <c r="Q206" s="77">
        <v>52</v>
      </c>
      <c r="R206" s="77">
        <v>1</v>
      </c>
      <c r="S206" s="77">
        <v>0</v>
      </c>
      <c r="T206" s="77">
        <v>0</v>
      </c>
      <c r="U206" s="77">
        <v>1</v>
      </c>
      <c r="V206" s="77">
        <v>0</v>
      </c>
      <c r="W206" s="77">
        <v>0</v>
      </c>
      <c r="X206" s="77">
        <v>0</v>
      </c>
      <c r="Y206" s="21" t="s">
        <v>268</v>
      </c>
      <c r="Z206" s="21" t="s">
        <v>163</v>
      </c>
      <c r="AA206" s="21" t="s">
        <v>162</v>
      </c>
      <c r="AB206" s="21" t="s">
        <v>162</v>
      </c>
      <c r="AC206" s="21" t="s">
        <v>162</v>
      </c>
      <c r="AD206" s="21" t="s">
        <v>162</v>
      </c>
      <c r="AE206" s="21" t="s">
        <v>162</v>
      </c>
      <c r="AF206" s="21" t="s">
        <v>162</v>
      </c>
      <c r="AG206" s="21" t="s">
        <v>162</v>
      </c>
      <c r="AH206" s="21" t="s">
        <v>162</v>
      </c>
      <c r="AI206" s="21" t="s">
        <v>162</v>
      </c>
      <c r="AJ206" s="21" t="s">
        <v>162</v>
      </c>
      <c r="AK206" s="21" t="s">
        <v>162</v>
      </c>
      <c r="AL206" s="21" t="s">
        <v>162</v>
      </c>
      <c r="AM206" s="21" t="s">
        <v>162</v>
      </c>
      <c r="AN206" s="21" t="s">
        <v>162</v>
      </c>
      <c r="AO206" s="21" t="s">
        <v>162</v>
      </c>
      <c r="AP206" s="21" t="s">
        <v>162</v>
      </c>
      <c r="AQ206" s="21" t="s">
        <v>280</v>
      </c>
      <c r="AR206" s="21" t="s">
        <v>1211</v>
      </c>
      <c r="AS206" s="21" t="s">
        <v>1193</v>
      </c>
      <c r="AT206" s="21" t="s">
        <v>1212</v>
      </c>
      <c r="AU206" s="21" t="s">
        <v>1213</v>
      </c>
      <c r="AV206" s="21" t="s">
        <v>162</v>
      </c>
      <c r="AW206" s="10"/>
    </row>
    <row r="207" spans="1:49">
      <c r="A207" s="21" t="s">
        <v>1214</v>
      </c>
      <c r="B207" s="21" t="s">
        <v>162</v>
      </c>
      <c r="C207" s="10" t="s">
        <v>163</v>
      </c>
      <c r="D207" s="74">
        <v>45427</v>
      </c>
      <c r="E207" s="10" t="s">
        <v>1215</v>
      </c>
      <c r="F207" s="75" t="str">
        <f>VLOOKUP($E207,'Item Classification'!B:C,2,0)</f>
        <v>Air-to-air missile (AAM)</v>
      </c>
      <c r="G207" s="10" t="str">
        <f>VLOOKUP($E207,'Item Classification'!B:D,3,0)</f>
        <v>Missile (Air)</v>
      </c>
      <c r="H207" s="76">
        <f>VLOOKUP($E207,'Item Classification'!B:E,4,0)</f>
        <v>6</v>
      </c>
      <c r="I207" s="81" t="s">
        <v>162</v>
      </c>
      <c r="J207" s="81" t="s">
        <v>162</v>
      </c>
      <c r="K207" s="81" t="s">
        <v>162</v>
      </c>
      <c r="L207" s="81" t="s">
        <v>162</v>
      </c>
      <c r="M207" s="182">
        <v>178000000</v>
      </c>
      <c r="N207" s="10" t="s">
        <v>165</v>
      </c>
      <c r="O207" s="10" t="s">
        <v>162</v>
      </c>
      <c r="P207" s="10" t="s">
        <v>163</v>
      </c>
      <c r="Q207" s="77">
        <v>53</v>
      </c>
      <c r="R207" s="77">
        <v>1</v>
      </c>
      <c r="S207" s="77">
        <v>0</v>
      </c>
      <c r="T207" s="77">
        <v>0</v>
      </c>
      <c r="U207" s="77">
        <v>0</v>
      </c>
      <c r="V207" s="77">
        <v>0</v>
      </c>
      <c r="W207" s="77">
        <v>0</v>
      </c>
      <c r="X207" s="77">
        <v>0</v>
      </c>
      <c r="Y207" s="10" t="s">
        <v>702</v>
      </c>
      <c r="Z207" s="10" t="s">
        <v>218</v>
      </c>
      <c r="AA207" s="10" t="s">
        <v>162</v>
      </c>
      <c r="AB207" s="10" t="s">
        <v>162</v>
      </c>
      <c r="AC207" s="10" t="s">
        <v>162</v>
      </c>
      <c r="AD207" s="10" t="s">
        <v>162</v>
      </c>
      <c r="AE207" s="10" t="s">
        <v>162</v>
      </c>
      <c r="AF207" s="10" t="s">
        <v>162</v>
      </c>
      <c r="AG207" s="10" t="s">
        <v>162</v>
      </c>
      <c r="AH207" s="10" t="s">
        <v>162</v>
      </c>
      <c r="AI207" s="10" t="s">
        <v>162</v>
      </c>
      <c r="AJ207" s="10" t="s">
        <v>162</v>
      </c>
      <c r="AK207" s="10" t="s">
        <v>162</v>
      </c>
      <c r="AL207" s="10" t="s">
        <v>162</v>
      </c>
      <c r="AM207" s="10" t="s">
        <v>162</v>
      </c>
      <c r="AN207" s="10" t="s">
        <v>162</v>
      </c>
      <c r="AO207" s="10" t="s">
        <v>162</v>
      </c>
      <c r="AP207" s="10" t="s">
        <v>162</v>
      </c>
      <c r="AQ207" s="10" t="s">
        <v>1216</v>
      </c>
      <c r="AR207" s="10" t="s">
        <v>1217</v>
      </c>
      <c r="AS207" s="10" t="s">
        <v>162</v>
      </c>
      <c r="AT207" s="10" t="s">
        <v>1218</v>
      </c>
      <c r="AU207" s="10" t="s">
        <v>1219</v>
      </c>
      <c r="AV207" s="10" t="s">
        <v>162</v>
      </c>
      <c r="AW207" s="10"/>
    </row>
    <row r="208" spans="1:49">
      <c r="A208" s="21" t="s">
        <v>1220</v>
      </c>
      <c r="B208" s="21" t="s">
        <v>162</v>
      </c>
      <c r="C208" s="10" t="s">
        <v>163</v>
      </c>
      <c r="D208" s="74">
        <v>45427</v>
      </c>
      <c r="E208" s="10" t="s">
        <v>837</v>
      </c>
      <c r="F208" s="75" t="str">
        <f>VLOOKUP($E208,'Item Classification'!B:C,2,0)</f>
        <v>Communication equipment</v>
      </c>
      <c r="G208" s="10" t="str">
        <f>VLOOKUP($E208,'Item Classification'!B:D,3,0)</f>
        <v>Modernisation</v>
      </c>
      <c r="H208" s="76">
        <f>VLOOKUP($E208,'Item Classification'!B:E,4,0)</f>
        <v>13</v>
      </c>
      <c r="I208" s="81">
        <v>6376</v>
      </c>
      <c r="J208" s="182">
        <f>M208/I208</f>
        <v>22929.736511919698</v>
      </c>
      <c r="K208" s="81" t="s">
        <v>162</v>
      </c>
      <c r="L208" s="81" t="s">
        <v>162</v>
      </c>
      <c r="M208" s="182">
        <v>146200000</v>
      </c>
      <c r="N208" s="10" t="s">
        <v>665</v>
      </c>
      <c r="O208" s="10" t="s">
        <v>162</v>
      </c>
      <c r="P208" s="10" t="s">
        <v>163</v>
      </c>
      <c r="Q208" s="77">
        <v>53</v>
      </c>
      <c r="R208" s="77">
        <v>1</v>
      </c>
      <c r="S208" s="77">
        <v>0</v>
      </c>
      <c r="T208" s="77">
        <v>0</v>
      </c>
      <c r="U208" s="77" t="s">
        <v>162</v>
      </c>
      <c r="V208" s="77" t="s">
        <v>162</v>
      </c>
      <c r="W208" s="77" t="s">
        <v>162</v>
      </c>
      <c r="X208" s="77" t="s">
        <v>162</v>
      </c>
      <c r="Y208" s="21" t="s">
        <v>162</v>
      </c>
      <c r="Z208" s="21" t="s">
        <v>162</v>
      </c>
      <c r="AA208" s="21" t="s">
        <v>162</v>
      </c>
      <c r="AB208" s="21" t="s">
        <v>162</v>
      </c>
      <c r="AC208" s="21" t="s">
        <v>162</v>
      </c>
      <c r="AD208" s="21" t="s">
        <v>162</v>
      </c>
      <c r="AE208" s="21" t="s">
        <v>162</v>
      </c>
      <c r="AF208" s="21" t="s">
        <v>162</v>
      </c>
      <c r="AG208" s="21" t="s">
        <v>162</v>
      </c>
      <c r="AH208" s="21" t="s">
        <v>162</v>
      </c>
      <c r="AI208" s="21" t="s">
        <v>162</v>
      </c>
      <c r="AJ208" s="21" t="s">
        <v>162</v>
      </c>
      <c r="AK208" s="21" t="s">
        <v>162</v>
      </c>
      <c r="AL208" s="21" t="s">
        <v>162</v>
      </c>
      <c r="AM208" s="21" t="s">
        <v>162</v>
      </c>
      <c r="AN208" s="21" t="s">
        <v>162</v>
      </c>
      <c r="AO208" s="21" t="s">
        <v>162</v>
      </c>
      <c r="AP208" s="21" t="s">
        <v>162</v>
      </c>
      <c r="AQ208" s="10" t="s">
        <v>1216</v>
      </c>
      <c r="AR208" s="10" t="s">
        <v>1217</v>
      </c>
      <c r="AS208" s="10" t="s">
        <v>162</v>
      </c>
      <c r="AT208" s="10" t="s">
        <v>1221</v>
      </c>
      <c r="AU208" s="10" t="s">
        <v>1222</v>
      </c>
      <c r="AV208" s="10" t="s">
        <v>162</v>
      </c>
      <c r="AW208" s="10"/>
    </row>
    <row r="209" spans="1:49">
      <c r="A209" s="21" t="s">
        <v>1223</v>
      </c>
      <c r="B209" s="10" t="s">
        <v>638</v>
      </c>
      <c r="C209" s="10" t="s">
        <v>163</v>
      </c>
      <c r="D209" s="74">
        <v>45427</v>
      </c>
      <c r="E209" s="10" t="s">
        <v>1224</v>
      </c>
      <c r="F209" s="75" t="str">
        <f>VLOOKUP($E209,'Item Classification'!B:C,2,0)</f>
        <v>Spare parts logistics</v>
      </c>
      <c r="G209" s="10" t="str">
        <f>VLOOKUP($E209,'Item Classification'!B:D,3,0)</f>
        <v>Maintenance</v>
      </c>
      <c r="H209" s="76">
        <f>VLOOKUP($E209,'Item Classification'!B:E,4,0)</f>
        <v>14</v>
      </c>
      <c r="I209" s="81" t="s">
        <v>162</v>
      </c>
      <c r="J209" s="81" t="s">
        <v>162</v>
      </c>
      <c r="K209" s="81" t="s">
        <v>162</v>
      </c>
      <c r="L209" s="81" t="s">
        <v>162</v>
      </c>
      <c r="M209" s="182">
        <v>324760000</v>
      </c>
      <c r="N209" s="10" t="s">
        <v>165</v>
      </c>
      <c r="O209" s="10" t="s">
        <v>162</v>
      </c>
      <c r="P209" s="10" t="s">
        <v>163</v>
      </c>
      <c r="Q209" s="77">
        <v>53</v>
      </c>
      <c r="R209" s="77">
        <v>0</v>
      </c>
      <c r="S209" s="77">
        <v>0</v>
      </c>
      <c r="T209" s="77">
        <v>0</v>
      </c>
      <c r="U209" s="77">
        <v>1</v>
      </c>
      <c r="V209" s="77">
        <v>0</v>
      </c>
      <c r="W209" s="77">
        <v>0</v>
      </c>
      <c r="X209" s="77">
        <v>0</v>
      </c>
      <c r="Y209" s="10" t="s">
        <v>162</v>
      </c>
      <c r="Z209" s="10" t="s">
        <v>163</v>
      </c>
      <c r="AA209" s="10" t="s">
        <v>162</v>
      </c>
      <c r="AB209" s="10" t="s">
        <v>162</v>
      </c>
      <c r="AC209" s="10" t="s">
        <v>162</v>
      </c>
      <c r="AD209" s="10" t="s">
        <v>162</v>
      </c>
      <c r="AE209" s="10" t="s">
        <v>162</v>
      </c>
      <c r="AF209" s="10" t="s">
        <v>162</v>
      </c>
      <c r="AG209" s="10" t="s">
        <v>162</v>
      </c>
      <c r="AH209" s="10" t="s">
        <v>162</v>
      </c>
      <c r="AI209" s="10" t="s">
        <v>162</v>
      </c>
      <c r="AJ209" s="10" t="s">
        <v>162</v>
      </c>
      <c r="AK209" s="10" t="s">
        <v>162</v>
      </c>
      <c r="AL209" s="10" t="s">
        <v>162</v>
      </c>
      <c r="AM209" s="10" t="s">
        <v>162</v>
      </c>
      <c r="AN209" s="10" t="s">
        <v>162</v>
      </c>
      <c r="AO209" s="10" t="s">
        <v>162</v>
      </c>
      <c r="AP209" s="10" t="s">
        <v>162</v>
      </c>
      <c r="AQ209" s="10" t="s">
        <v>1216</v>
      </c>
      <c r="AR209" s="10" t="s">
        <v>162</v>
      </c>
      <c r="AS209" s="10" t="s">
        <v>162</v>
      </c>
      <c r="AT209" s="10" t="s">
        <v>1225</v>
      </c>
      <c r="AU209" s="10" t="s">
        <v>162</v>
      </c>
      <c r="AV209" s="10" t="s">
        <v>162</v>
      </c>
      <c r="AW209" s="10"/>
    </row>
    <row r="210" spans="1:49">
      <c r="A210" s="21" t="s">
        <v>1226</v>
      </c>
      <c r="B210" s="21" t="s">
        <v>524</v>
      </c>
      <c r="C210" s="10" t="s">
        <v>163</v>
      </c>
      <c r="D210" s="74">
        <v>45427</v>
      </c>
      <c r="E210" s="10" t="s">
        <v>1227</v>
      </c>
      <c r="F210" s="75" t="str">
        <f>VLOOKUP($E210,'Item Classification'!B:C,2,0)</f>
        <v>Frigate modernization</v>
      </c>
      <c r="G210" s="10" t="str">
        <f>VLOOKUP($E210,'Item Classification'!B:D,3,0)</f>
        <v>Naval</v>
      </c>
      <c r="H210" s="76">
        <f>VLOOKUP($E210,'Item Classification'!B:E,4,0)</f>
        <v>12</v>
      </c>
      <c r="I210" s="81">
        <v>4</v>
      </c>
      <c r="J210" s="182">
        <f>M210/I210</f>
        <v>300000000</v>
      </c>
      <c r="K210" s="81">
        <v>2026</v>
      </c>
      <c r="L210" s="81">
        <v>2029</v>
      </c>
      <c r="M210" s="182">
        <v>1200000000</v>
      </c>
      <c r="N210" s="10" t="s">
        <v>165</v>
      </c>
      <c r="O210" s="10" t="s">
        <v>162</v>
      </c>
      <c r="P210" s="10" t="s">
        <v>163</v>
      </c>
      <c r="Q210" s="77">
        <v>53</v>
      </c>
      <c r="R210" s="77">
        <v>0</v>
      </c>
      <c r="S210" s="77">
        <v>0</v>
      </c>
      <c r="T210" s="77">
        <v>0</v>
      </c>
      <c r="U210" s="77" t="s">
        <v>162</v>
      </c>
      <c r="V210" s="77" t="s">
        <v>162</v>
      </c>
      <c r="W210" s="77" t="s">
        <v>162</v>
      </c>
      <c r="X210" s="77" t="s">
        <v>162</v>
      </c>
      <c r="Y210" s="10" t="s">
        <v>162</v>
      </c>
      <c r="Z210" s="10" t="s">
        <v>162</v>
      </c>
      <c r="AA210" s="10" t="s">
        <v>162</v>
      </c>
      <c r="AB210" s="10" t="s">
        <v>162</v>
      </c>
      <c r="AC210" s="10" t="s">
        <v>162</v>
      </c>
      <c r="AD210" s="10" t="s">
        <v>162</v>
      </c>
      <c r="AE210" s="10" t="s">
        <v>162</v>
      </c>
      <c r="AF210" s="10" t="s">
        <v>162</v>
      </c>
      <c r="AG210" s="10" t="s">
        <v>162</v>
      </c>
      <c r="AH210" s="10" t="s">
        <v>162</v>
      </c>
      <c r="AI210" s="10" t="s">
        <v>162</v>
      </c>
      <c r="AJ210" s="10" t="s">
        <v>162</v>
      </c>
      <c r="AK210" s="10" t="s">
        <v>162</v>
      </c>
      <c r="AL210" s="10" t="s">
        <v>162</v>
      </c>
      <c r="AM210" s="10" t="s">
        <v>162</v>
      </c>
      <c r="AN210" s="10" t="s">
        <v>162</v>
      </c>
      <c r="AO210" s="10" t="s">
        <v>162</v>
      </c>
      <c r="AP210" s="10" t="s">
        <v>162</v>
      </c>
      <c r="AQ210" s="10" t="s">
        <v>1216</v>
      </c>
      <c r="AR210" s="10" t="s">
        <v>162</v>
      </c>
      <c r="AS210" s="10" t="s">
        <v>162</v>
      </c>
      <c r="AT210" s="10" t="s">
        <v>1228</v>
      </c>
      <c r="AU210" s="10" t="s">
        <v>162</v>
      </c>
      <c r="AV210" s="10" t="s">
        <v>162</v>
      </c>
      <c r="AW210" s="10"/>
    </row>
    <row r="211" spans="1:49">
      <c r="A211" s="10" t="s">
        <v>1229</v>
      </c>
      <c r="B211" s="21" t="s">
        <v>162</v>
      </c>
      <c r="C211" s="10" t="s">
        <v>163</v>
      </c>
      <c r="D211" s="74">
        <v>45448</v>
      </c>
      <c r="E211" s="10" t="s">
        <v>162</v>
      </c>
      <c r="F211" s="75" t="s">
        <v>295</v>
      </c>
      <c r="G211" s="10" t="s">
        <v>296</v>
      </c>
      <c r="H211" s="76">
        <v>16</v>
      </c>
      <c r="I211" s="81" t="s">
        <v>162</v>
      </c>
      <c r="J211" s="81" t="s">
        <v>162</v>
      </c>
      <c r="K211" s="81">
        <v>2024</v>
      </c>
      <c r="L211" s="81">
        <v>2024</v>
      </c>
      <c r="M211" s="182">
        <v>920000000</v>
      </c>
      <c r="N211" s="10" t="s">
        <v>665</v>
      </c>
      <c r="O211" s="10" t="s">
        <v>162</v>
      </c>
      <c r="P211" s="10" t="s">
        <v>163</v>
      </c>
      <c r="Q211" s="77">
        <v>54</v>
      </c>
      <c r="R211" s="77">
        <v>1</v>
      </c>
      <c r="S211" s="77">
        <v>0</v>
      </c>
      <c r="T211" s="77">
        <v>0</v>
      </c>
      <c r="U211" s="77">
        <v>1</v>
      </c>
      <c r="V211" s="77">
        <v>0</v>
      </c>
      <c r="W211" s="77">
        <v>0</v>
      </c>
      <c r="X211" s="77">
        <v>0</v>
      </c>
      <c r="Y211" s="21" t="s">
        <v>268</v>
      </c>
      <c r="Z211" s="10" t="s">
        <v>163</v>
      </c>
      <c r="AA211" s="10" t="s">
        <v>162</v>
      </c>
      <c r="AB211" s="10" t="s">
        <v>162</v>
      </c>
      <c r="AC211" s="10" t="s">
        <v>162</v>
      </c>
      <c r="AD211" s="10" t="s">
        <v>162</v>
      </c>
      <c r="AE211" s="10" t="s">
        <v>162</v>
      </c>
      <c r="AF211" s="10" t="s">
        <v>162</v>
      </c>
      <c r="AG211" s="10" t="s">
        <v>162</v>
      </c>
      <c r="AH211" s="10" t="s">
        <v>162</v>
      </c>
      <c r="AI211" s="10" t="s">
        <v>162</v>
      </c>
      <c r="AJ211" s="10" t="s">
        <v>162</v>
      </c>
      <c r="AK211" s="10" t="s">
        <v>162</v>
      </c>
      <c r="AL211" s="10" t="s">
        <v>162</v>
      </c>
      <c r="AM211" s="10" t="s">
        <v>162</v>
      </c>
      <c r="AN211" s="10" t="s">
        <v>162</v>
      </c>
      <c r="AO211" s="10" t="s">
        <v>162</v>
      </c>
      <c r="AP211" s="10" t="s">
        <v>162</v>
      </c>
      <c r="AQ211" s="10" t="s">
        <v>1230</v>
      </c>
      <c r="AR211" s="10" t="s">
        <v>1231</v>
      </c>
      <c r="AS211" s="10" t="s">
        <v>1232</v>
      </c>
      <c r="AT211" s="10" t="s">
        <v>1233</v>
      </c>
      <c r="AU211" s="108" t="s">
        <v>1234</v>
      </c>
      <c r="AV211" s="10" t="s">
        <v>162</v>
      </c>
      <c r="AW211" s="10"/>
    </row>
    <row r="212" spans="1:49">
      <c r="A212" s="10" t="s">
        <v>1235</v>
      </c>
      <c r="B212" s="21" t="s">
        <v>162</v>
      </c>
      <c r="C212" s="10" t="s">
        <v>163</v>
      </c>
      <c r="D212" s="74">
        <v>45448</v>
      </c>
      <c r="E212" s="21" t="s">
        <v>302</v>
      </c>
      <c r="F212" s="75" t="str">
        <f>VLOOKUP($E212,'Item Classification'!B:C,2,0)</f>
        <v>Non-combat military vehicle</v>
      </c>
      <c r="G212" s="10" t="str">
        <f>VLOOKUP($E212,'Item Classification'!B:D,3,0)</f>
        <v>Other</v>
      </c>
      <c r="H212" s="76">
        <f>VLOOKUP($E212,'Item Classification'!B:E,4,0)</f>
        <v>16</v>
      </c>
      <c r="I212" s="81">
        <v>1250</v>
      </c>
      <c r="J212" s="81" t="s">
        <v>162</v>
      </c>
      <c r="K212" s="81">
        <v>2024</v>
      </c>
      <c r="L212" s="81">
        <v>2024</v>
      </c>
      <c r="M212" s="81" t="s">
        <v>162</v>
      </c>
      <c r="N212" s="10" t="s">
        <v>665</v>
      </c>
      <c r="O212" s="10" t="s">
        <v>162</v>
      </c>
      <c r="P212" s="10" t="s">
        <v>163</v>
      </c>
      <c r="Q212" s="77">
        <v>54</v>
      </c>
      <c r="R212" s="77">
        <v>1</v>
      </c>
      <c r="S212" s="77">
        <v>0</v>
      </c>
      <c r="T212" s="77">
        <v>0</v>
      </c>
      <c r="U212" s="77">
        <v>1</v>
      </c>
      <c r="V212" s="77">
        <v>0</v>
      </c>
      <c r="W212" s="77">
        <v>0</v>
      </c>
      <c r="X212" s="77">
        <v>0</v>
      </c>
      <c r="Y212" s="21" t="s">
        <v>268</v>
      </c>
      <c r="Z212" s="10" t="s">
        <v>163</v>
      </c>
      <c r="AA212" s="10" t="s">
        <v>162</v>
      </c>
      <c r="AB212" s="10" t="s">
        <v>162</v>
      </c>
      <c r="AC212" s="10" t="s">
        <v>162</v>
      </c>
      <c r="AD212" s="10" t="s">
        <v>162</v>
      </c>
      <c r="AE212" s="10" t="s">
        <v>162</v>
      </c>
      <c r="AF212" s="10" t="s">
        <v>162</v>
      </c>
      <c r="AG212" s="10" t="s">
        <v>162</v>
      </c>
      <c r="AH212" s="10" t="s">
        <v>162</v>
      </c>
      <c r="AI212" s="10" t="s">
        <v>162</v>
      </c>
      <c r="AJ212" s="10" t="s">
        <v>162</v>
      </c>
      <c r="AK212" s="10" t="s">
        <v>162</v>
      </c>
      <c r="AL212" s="10" t="s">
        <v>162</v>
      </c>
      <c r="AM212" s="10" t="s">
        <v>162</v>
      </c>
      <c r="AN212" s="10" t="s">
        <v>162</v>
      </c>
      <c r="AO212" s="10" t="s">
        <v>162</v>
      </c>
      <c r="AP212" s="10" t="s">
        <v>162</v>
      </c>
      <c r="AQ212" s="10" t="s">
        <v>1230</v>
      </c>
      <c r="AR212" s="10" t="s">
        <v>1231</v>
      </c>
      <c r="AS212" s="10" t="s">
        <v>1232</v>
      </c>
      <c r="AT212" s="10" t="s">
        <v>1233</v>
      </c>
      <c r="AU212" s="108" t="s">
        <v>1234</v>
      </c>
      <c r="AV212" s="10" t="s">
        <v>162</v>
      </c>
      <c r="AW212" s="10"/>
    </row>
    <row r="213" spans="1:49">
      <c r="A213" s="10" t="s">
        <v>1236</v>
      </c>
      <c r="B213" s="21" t="s">
        <v>162</v>
      </c>
      <c r="C213" s="10" t="s">
        <v>163</v>
      </c>
      <c r="D213" s="74">
        <v>45448</v>
      </c>
      <c r="E213" s="21" t="s">
        <v>284</v>
      </c>
      <c r="F213" s="75" t="str">
        <f>VLOOKUP($E213,'Item Classification'!B:C,2,0)</f>
        <v>Armoured Utility Vehicle (AUV)</v>
      </c>
      <c r="G213" s="10" t="str">
        <f>VLOOKUP($E213,'Item Classification'!B:D,3,0)</f>
        <v>Armoured vehicle</v>
      </c>
      <c r="H213" s="76">
        <f>VLOOKUP($E213,'Item Classification'!B:E,4,0)</f>
        <v>2</v>
      </c>
      <c r="I213" s="81">
        <v>265</v>
      </c>
      <c r="J213" s="81" t="s">
        <v>162</v>
      </c>
      <c r="K213" s="81">
        <v>2024</v>
      </c>
      <c r="L213" s="81">
        <v>2024</v>
      </c>
      <c r="M213" s="81" t="s">
        <v>162</v>
      </c>
      <c r="N213" s="10" t="s">
        <v>665</v>
      </c>
      <c r="O213" s="10" t="s">
        <v>162</v>
      </c>
      <c r="P213" s="10" t="s">
        <v>163</v>
      </c>
      <c r="Q213" s="77">
        <v>54</v>
      </c>
      <c r="R213" s="77">
        <v>1</v>
      </c>
      <c r="S213" s="77">
        <v>0</v>
      </c>
      <c r="T213" s="77">
        <v>0</v>
      </c>
      <c r="U213" s="77">
        <v>1</v>
      </c>
      <c r="V213" s="77">
        <v>0</v>
      </c>
      <c r="W213" s="77">
        <v>0</v>
      </c>
      <c r="X213" s="77">
        <v>0</v>
      </c>
      <c r="Y213" s="21" t="s">
        <v>268</v>
      </c>
      <c r="Z213" s="10" t="s">
        <v>163</v>
      </c>
      <c r="AA213" s="10" t="s">
        <v>162</v>
      </c>
      <c r="AB213" s="10" t="s">
        <v>162</v>
      </c>
      <c r="AC213" s="10" t="s">
        <v>162</v>
      </c>
      <c r="AD213" s="10" t="s">
        <v>162</v>
      </c>
      <c r="AE213" s="10" t="s">
        <v>162</v>
      </c>
      <c r="AF213" s="10" t="s">
        <v>162</v>
      </c>
      <c r="AG213" s="10" t="s">
        <v>162</v>
      </c>
      <c r="AH213" s="10" t="s">
        <v>162</v>
      </c>
      <c r="AI213" s="10" t="s">
        <v>162</v>
      </c>
      <c r="AJ213" s="10" t="s">
        <v>162</v>
      </c>
      <c r="AK213" s="10" t="s">
        <v>162</v>
      </c>
      <c r="AL213" s="10" t="s">
        <v>162</v>
      </c>
      <c r="AM213" s="10" t="s">
        <v>162</v>
      </c>
      <c r="AN213" s="10" t="s">
        <v>162</v>
      </c>
      <c r="AO213" s="10" t="s">
        <v>162</v>
      </c>
      <c r="AP213" s="10" t="s">
        <v>162</v>
      </c>
      <c r="AQ213" s="10" t="s">
        <v>1230</v>
      </c>
      <c r="AR213" s="10" t="s">
        <v>1231</v>
      </c>
      <c r="AS213" s="10" t="s">
        <v>1232</v>
      </c>
      <c r="AT213" s="10" t="s">
        <v>1233</v>
      </c>
      <c r="AU213" s="108" t="s">
        <v>1234</v>
      </c>
      <c r="AV213" s="10" t="s">
        <v>162</v>
      </c>
      <c r="AW213" s="10"/>
    </row>
    <row r="214" spans="1:49">
      <c r="A214" s="10" t="s">
        <v>1237</v>
      </c>
      <c r="B214" s="21" t="s">
        <v>162</v>
      </c>
      <c r="C214" s="10" t="s">
        <v>163</v>
      </c>
      <c r="D214" s="74">
        <v>45448</v>
      </c>
      <c r="E214" s="10" t="s">
        <v>1238</v>
      </c>
      <c r="F214" s="75" t="str">
        <f>VLOOKUP($E214,'Item Classification'!B:C,2,0)</f>
        <v>Non-combat military vehicle part</v>
      </c>
      <c r="G214" s="10" t="str">
        <f>VLOOKUP($E214,'Item Classification'!B:D,3,0)</f>
        <v>Other</v>
      </c>
      <c r="H214" s="76">
        <f>VLOOKUP($E214,'Item Classification'!B:E,4,0)</f>
        <v>16</v>
      </c>
      <c r="I214" s="81">
        <v>500</v>
      </c>
      <c r="J214" s="81" t="s">
        <v>162</v>
      </c>
      <c r="K214" s="81">
        <v>2024</v>
      </c>
      <c r="L214" s="81">
        <v>2024</v>
      </c>
      <c r="M214" s="81" t="s">
        <v>162</v>
      </c>
      <c r="N214" s="10" t="s">
        <v>665</v>
      </c>
      <c r="O214" s="10" t="s">
        <v>162</v>
      </c>
      <c r="P214" s="10" t="s">
        <v>163</v>
      </c>
      <c r="Q214" s="77">
        <v>54</v>
      </c>
      <c r="R214" s="77">
        <v>1</v>
      </c>
      <c r="S214" s="77">
        <v>0</v>
      </c>
      <c r="T214" s="77">
        <v>0</v>
      </c>
      <c r="U214" s="77">
        <v>1</v>
      </c>
      <c r="V214" s="77">
        <v>0</v>
      </c>
      <c r="W214" s="77">
        <v>0</v>
      </c>
      <c r="X214" s="77">
        <v>0</v>
      </c>
      <c r="Y214" s="21" t="s">
        <v>268</v>
      </c>
      <c r="Z214" s="10" t="s">
        <v>163</v>
      </c>
      <c r="AA214" s="10" t="s">
        <v>162</v>
      </c>
      <c r="AB214" s="10" t="s">
        <v>162</v>
      </c>
      <c r="AC214" s="10" t="s">
        <v>162</v>
      </c>
      <c r="AD214" s="10" t="s">
        <v>162</v>
      </c>
      <c r="AE214" s="10" t="s">
        <v>162</v>
      </c>
      <c r="AF214" s="10" t="s">
        <v>162</v>
      </c>
      <c r="AG214" s="10" t="s">
        <v>162</v>
      </c>
      <c r="AH214" s="10" t="s">
        <v>162</v>
      </c>
      <c r="AI214" s="10" t="s">
        <v>162</v>
      </c>
      <c r="AJ214" s="10" t="s">
        <v>162</v>
      </c>
      <c r="AK214" s="10" t="s">
        <v>162</v>
      </c>
      <c r="AL214" s="10" t="s">
        <v>162</v>
      </c>
      <c r="AM214" s="10" t="s">
        <v>162</v>
      </c>
      <c r="AN214" s="10" t="s">
        <v>162</v>
      </c>
      <c r="AO214" s="10" t="s">
        <v>162</v>
      </c>
      <c r="AP214" s="10" t="s">
        <v>162</v>
      </c>
      <c r="AQ214" s="10" t="s">
        <v>1230</v>
      </c>
      <c r="AR214" s="10" t="s">
        <v>1231</v>
      </c>
      <c r="AS214" s="10" t="s">
        <v>1232</v>
      </c>
      <c r="AT214" s="10" t="s">
        <v>1233</v>
      </c>
      <c r="AU214" s="108" t="s">
        <v>1234</v>
      </c>
      <c r="AV214" s="10" t="s">
        <v>162</v>
      </c>
      <c r="AW214" s="10"/>
    </row>
    <row r="215" spans="1:49">
      <c r="A215" s="10" t="s">
        <v>1239</v>
      </c>
      <c r="B215" s="21" t="s">
        <v>162</v>
      </c>
      <c r="C215" s="10" t="s">
        <v>163</v>
      </c>
      <c r="D215" s="74">
        <v>45448</v>
      </c>
      <c r="E215" s="10" t="s">
        <v>1240</v>
      </c>
      <c r="F215" s="75" t="str">
        <f>VLOOKUP($E215,'Item Classification'!B:C,2,0)</f>
        <v>Non-combat military vehicle part</v>
      </c>
      <c r="G215" s="10" t="str">
        <f>VLOOKUP($E215,'Item Classification'!B:D,3,0)</f>
        <v>Other</v>
      </c>
      <c r="H215" s="76">
        <f>VLOOKUP($E215,'Item Classification'!B:E,4,0)</f>
        <v>16</v>
      </c>
      <c r="I215" s="81">
        <v>500</v>
      </c>
      <c r="J215" s="81" t="s">
        <v>162</v>
      </c>
      <c r="K215" s="81">
        <v>2024</v>
      </c>
      <c r="L215" s="81">
        <v>2024</v>
      </c>
      <c r="M215" s="81" t="s">
        <v>162</v>
      </c>
      <c r="N215" s="10" t="s">
        <v>665</v>
      </c>
      <c r="O215" s="10" t="s">
        <v>162</v>
      </c>
      <c r="P215" s="10" t="s">
        <v>163</v>
      </c>
      <c r="Q215" s="77">
        <v>54</v>
      </c>
      <c r="R215" s="77">
        <v>1</v>
      </c>
      <c r="S215" s="77">
        <v>0</v>
      </c>
      <c r="T215" s="77">
        <v>0</v>
      </c>
      <c r="U215" s="77">
        <v>1</v>
      </c>
      <c r="V215" s="77">
        <v>0</v>
      </c>
      <c r="W215" s="77">
        <v>0</v>
      </c>
      <c r="X215" s="77">
        <v>0</v>
      </c>
      <c r="Y215" s="21" t="s">
        <v>268</v>
      </c>
      <c r="Z215" s="10" t="s">
        <v>163</v>
      </c>
      <c r="AA215" s="10" t="s">
        <v>162</v>
      </c>
      <c r="AB215" s="10" t="s">
        <v>162</v>
      </c>
      <c r="AC215" s="10" t="s">
        <v>162</v>
      </c>
      <c r="AD215" s="10" t="s">
        <v>162</v>
      </c>
      <c r="AE215" s="10" t="s">
        <v>162</v>
      </c>
      <c r="AF215" s="10" t="s">
        <v>162</v>
      </c>
      <c r="AG215" s="10" t="s">
        <v>162</v>
      </c>
      <c r="AH215" s="10" t="s">
        <v>162</v>
      </c>
      <c r="AI215" s="10" t="s">
        <v>162</v>
      </c>
      <c r="AJ215" s="10" t="s">
        <v>162</v>
      </c>
      <c r="AK215" s="10" t="s">
        <v>162</v>
      </c>
      <c r="AL215" s="10" t="s">
        <v>162</v>
      </c>
      <c r="AM215" s="10" t="s">
        <v>162</v>
      </c>
      <c r="AN215" s="10" t="s">
        <v>162</v>
      </c>
      <c r="AO215" s="10" t="s">
        <v>162</v>
      </c>
      <c r="AP215" s="10" t="s">
        <v>162</v>
      </c>
      <c r="AQ215" s="10" t="s">
        <v>1230</v>
      </c>
      <c r="AR215" s="10" t="s">
        <v>1231</v>
      </c>
      <c r="AS215" s="10" t="s">
        <v>1232</v>
      </c>
      <c r="AT215" s="10" t="s">
        <v>1233</v>
      </c>
      <c r="AU215" s="108" t="s">
        <v>1234</v>
      </c>
      <c r="AV215" s="10" t="s">
        <v>162</v>
      </c>
      <c r="AW215" s="10"/>
    </row>
    <row r="216" spans="1:49">
      <c r="A216" s="10" t="s">
        <v>1241</v>
      </c>
      <c r="B216" s="21" t="s">
        <v>162</v>
      </c>
      <c r="C216" s="10" t="s">
        <v>163</v>
      </c>
      <c r="D216" s="74">
        <v>45448</v>
      </c>
      <c r="E216" s="10" t="s">
        <v>1242</v>
      </c>
      <c r="F216" s="75" t="str">
        <f>VLOOKUP($E216,'Item Classification'!B:C,2,0)</f>
        <v>Lightweight anti-submarine torpedo</v>
      </c>
      <c r="G216" s="10" t="str">
        <f>VLOOKUP($E216,'Item Classification'!B:D,3,0)</f>
        <v>Naval</v>
      </c>
      <c r="H216" s="76">
        <f>VLOOKUP($E216,'Item Classification'!B:E,4,0)</f>
        <v>12</v>
      </c>
      <c r="I216" s="81">
        <v>48</v>
      </c>
      <c r="J216" s="182">
        <f>M216/I216</f>
        <v>2541666.6666666665</v>
      </c>
      <c r="K216" s="81" t="s">
        <v>162</v>
      </c>
      <c r="L216" s="81" t="s">
        <v>162</v>
      </c>
      <c r="M216" s="182">
        <v>122000000</v>
      </c>
      <c r="N216" s="10" t="s">
        <v>665</v>
      </c>
      <c r="O216" s="10" t="s">
        <v>165</v>
      </c>
      <c r="P216" s="10" t="s">
        <v>163</v>
      </c>
      <c r="Q216" s="77">
        <v>54</v>
      </c>
      <c r="R216" s="77">
        <v>0</v>
      </c>
      <c r="S216" s="77">
        <v>0</v>
      </c>
      <c r="T216" s="77">
        <v>0</v>
      </c>
      <c r="U216" s="77">
        <v>0</v>
      </c>
      <c r="V216" s="77">
        <v>0</v>
      </c>
      <c r="W216" s="77">
        <v>0</v>
      </c>
      <c r="X216" s="77">
        <v>0</v>
      </c>
      <c r="Y216" s="10" t="s">
        <v>702</v>
      </c>
      <c r="Z216" s="10" t="s">
        <v>218</v>
      </c>
      <c r="AA216" s="10" t="s">
        <v>162</v>
      </c>
      <c r="AB216" s="10" t="s">
        <v>162</v>
      </c>
      <c r="AC216" s="10" t="s">
        <v>162</v>
      </c>
      <c r="AD216" s="10" t="s">
        <v>162</v>
      </c>
      <c r="AE216" s="10" t="s">
        <v>162</v>
      </c>
      <c r="AF216" s="10" t="s">
        <v>162</v>
      </c>
      <c r="AG216" s="10" t="s">
        <v>162</v>
      </c>
      <c r="AH216" s="10" t="s">
        <v>162</v>
      </c>
      <c r="AI216" s="10" t="s">
        <v>162</v>
      </c>
      <c r="AJ216" s="10" t="s">
        <v>162</v>
      </c>
      <c r="AK216" s="10" t="s">
        <v>162</v>
      </c>
      <c r="AL216" s="10" t="s">
        <v>162</v>
      </c>
      <c r="AM216" s="10" t="s">
        <v>162</v>
      </c>
      <c r="AN216" s="10" t="s">
        <v>162</v>
      </c>
      <c r="AO216" s="10" t="s">
        <v>162</v>
      </c>
      <c r="AP216" s="10" t="s">
        <v>162</v>
      </c>
      <c r="AQ216" s="10" t="s">
        <v>1230</v>
      </c>
      <c r="AR216" s="10" t="s">
        <v>1243</v>
      </c>
      <c r="AS216" s="10" t="s">
        <v>1244</v>
      </c>
      <c r="AT216" s="10" t="s">
        <v>1245</v>
      </c>
      <c r="AU216" s="10" t="s">
        <v>1246</v>
      </c>
      <c r="AV216" s="10" t="s">
        <v>162</v>
      </c>
      <c r="AW216" s="10"/>
    </row>
    <row r="217" spans="1:49">
      <c r="A217" s="10" t="s">
        <v>1247</v>
      </c>
      <c r="B217" s="21" t="s">
        <v>162</v>
      </c>
      <c r="C217" s="10" t="s">
        <v>163</v>
      </c>
      <c r="D217" s="74">
        <v>45448</v>
      </c>
      <c r="E217" s="10" t="s">
        <v>1248</v>
      </c>
      <c r="F217" s="75" t="str">
        <f>VLOOKUP($E217,'Item Classification'!B:C,2,0)</f>
        <v>Operations and command infrastructure</v>
      </c>
      <c r="G217" s="10" t="str">
        <f>VLOOKUP($E217,'Item Classification'!B:D,3,0)</f>
        <v>Naval</v>
      </c>
      <c r="H217" s="76">
        <f>VLOOKUP($E217,'Item Classification'!B:E,4,0)</f>
        <v>12</v>
      </c>
      <c r="I217" s="81" t="s">
        <v>162</v>
      </c>
      <c r="J217" s="81" t="s">
        <v>162</v>
      </c>
      <c r="K217" s="81">
        <v>2025</v>
      </c>
      <c r="L217" s="81">
        <v>2026</v>
      </c>
      <c r="M217" s="182">
        <v>100000000</v>
      </c>
      <c r="N217" s="10" t="s">
        <v>665</v>
      </c>
      <c r="O217" s="10" t="s">
        <v>162</v>
      </c>
      <c r="P217" s="10" t="s">
        <v>163</v>
      </c>
      <c r="Q217" s="77">
        <v>54</v>
      </c>
      <c r="R217" s="77">
        <v>0</v>
      </c>
      <c r="S217" s="77">
        <v>0</v>
      </c>
      <c r="T217" s="77">
        <v>0</v>
      </c>
      <c r="U217" s="77">
        <v>1</v>
      </c>
      <c r="V217" s="77">
        <v>0</v>
      </c>
      <c r="W217" s="77">
        <v>0</v>
      </c>
      <c r="X217" s="77">
        <v>0</v>
      </c>
      <c r="Y217" s="21" t="s">
        <v>162</v>
      </c>
      <c r="Z217" s="21" t="s">
        <v>163</v>
      </c>
      <c r="AA217" s="10" t="s">
        <v>162</v>
      </c>
      <c r="AB217" s="10" t="s">
        <v>162</v>
      </c>
      <c r="AC217" s="10" t="s">
        <v>162</v>
      </c>
      <c r="AD217" s="10" t="s">
        <v>162</v>
      </c>
      <c r="AE217" s="10" t="s">
        <v>162</v>
      </c>
      <c r="AF217" s="10" t="s">
        <v>162</v>
      </c>
      <c r="AG217" s="10" t="s">
        <v>162</v>
      </c>
      <c r="AH217" s="10" t="s">
        <v>162</v>
      </c>
      <c r="AI217" s="10" t="s">
        <v>162</v>
      </c>
      <c r="AJ217" s="10" t="s">
        <v>162</v>
      </c>
      <c r="AK217" s="10" t="s">
        <v>162</v>
      </c>
      <c r="AL217" s="10" t="s">
        <v>162</v>
      </c>
      <c r="AM217" s="10" t="s">
        <v>162</v>
      </c>
      <c r="AN217" s="10" t="s">
        <v>162</v>
      </c>
      <c r="AO217" s="10" t="s">
        <v>162</v>
      </c>
      <c r="AP217" s="10" t="s">
        <v>162</v>
      </c>
      <c r="AQ217" s="10" t="s">
        <v>1230</v>
      </c>
      <c r="AR217" s="10" t="s">
        <v>1243</v>
      </c>
      <c r="AS217" s="10" t="s">
        <v>162</v>
      </c>
      <c r="AT217" s="10" t="s">
        <v>1249</v>
      </c>
      <c r="AU217" s="10" t="s">
        <v>162</v>
      </c>
      <c r="AV217" s="10" t="s">
        <v>162</v>
      </c>
      <c r="AW217" s="10"/>
    </row>
    <row r="218" spans="1:49">
      <c r="A218" s="10" t="s">
        <v>1250</v>
      </c>
      <c r="B218" s="10" t="s">
        <v>1251</v>
      </c>
      <c r="C218" s="10" t="s">
        <v>163</v>
      </c>
      <c r="D218" s="74">
        <v>45448</v>
      </c>
      <c r="E218" s="10" t="s">
        <v>1252</v>
      </c>
      <c r="F218" s="75" t="str">
        <f>VLOOKUP($E218,'Item Classification'!B:C,2,0)</f>
        <v>155mm howitzer ammunition</v>
      </c>
      <c r="G218" s="10" t="str">
        <f>VLOOKUP($E218,'Item Classification'!B:D,3,0)</f>
        <v>Ammunition</v>
      </c>
      <c r="H218" s="76">
        <f>VLOOKUP($E218,'Item Classification'!B:E,4,0)</f>
        <v>4</v>
      </c>
      <c r="I218" s="81">
        <v>300000</v>
      </c>
      <c r="J218" s="182">
        <f>M218/I218</f>
        <v>2933.3333333333335</v>
      </c>
      <c r="K218" s="81">
        <v>2025</v>
      </c>
      <c r="L218" s="81" t="s">
        <v>162</v>
      </c>
      <c r="M218" s="182">
        <v>880000000</v>
      </c>
      <c r="N218" s="10" t="s">
        <v>665</v>
      </c>
      <c r="O218" s="10" t="s">
        <v>165</v>
      </c>
      <c r="P218" s="10" t="s">
        <v>163</v>
      </c>
      <c r="Q218" s="77">
        <v>54</v>
      </c>
      <c r="R218" s="77">
        <v>1</v>
      </c>
      <c r="S218" s="77">
        <v>0</v>
      </c>
      <c r="T218" s="77">
        <v>0</v>
      </c>
      <c r="U218" s="77">
        <v>1</v>
      </c>
      <c r="V218" s="77">
        <v>0</v>
      </c>
      <c r="W218" s="77">
        <v>0</v>
      </c>
      <c r="X218" s="77">
        <v>0</v>
      </c>
      <c r="Y218" s="21" t="s">
        <v>268</v>
      </c>
      <c r="Z218" s="21" t="s">
        <v>163</v>
      </c>
      <c r="AA218" s="10" t="s">
        <v>162</v>
      </c>
      <c r="AB218" s="10" t="s">
        <v>162</v>
      </c>
      <c r="AC218" s="10" t="s">
        <v>162</v>
      </c>
      <c r="AD218" s="10" t="s">
        <v>162</v>
      </c>
      <c r="AE218" s="10" t="s">
        <v>162</v>
      </c>
      <c r="AF218" s="10" t="s">
        <v>162</v>
      </c>
      <c r="AG218" s="10" t="s">
        <v>162</v>
      </c>
      <c r="AH218" s="10" t="s">
        <v>162</v>
      </c>
      <c r="AI218" s="10" t="s">
        <v>162</v>
      </c>
      <c r="AJ218" s="10" t="s">
        <v>162</v>
      </c>
      <c r="AK218" s="10" t="s">
        <v>162</v>
      </c>
      <c r="AL218" s="10" t="s">
        <v>162</v>
      </c>
      <c r="AM218" s="10" t="s">
        <v>162</v>
      </c>
      <c r="AN218" s="10" t="s">
        <v>162</v>
      </c>
      <c r="AO218" s="10" t="s">
        <v>162</v>
      </c>
      <c r="AP218" s="10" t="s">
        <v>162</v>
      </c>
      <c r="AQ218" s="10" t="s">
        <v>1253</v>
      </c>
      <c r="AR218" s="10" t="s">
        <v>1254</v>
      </c>
      <c r="AS218" s="88" t="s">
        <v>1255</v>
      </c>
      <c r="AT218" s="10" t="s">
        <v>1256</v>
      </c>
      <c r="AU218" s="10" t="s">
        <v>1257</v>
      </c>
      <c r="AV218" s="10" t="s">
        <v>1258</v>
      </c>
      <c r="AW218" s="10" t="s">
        <v>162</v>
      </c>
    </row>
    <row r="219" spans="1:49">
      <c r="A219" s="10" t="s">
        <v>1259</v>
      </c>
      <c r="B219" s="10" t="s">
        <v>173</v>
      </c>
      <c r="C219" s="10" t="s">
        <v>163</v>
      </c>
      <c r="D219" s="74">
        <v>45455</v>
      </c>
      <c r="E219" s="10" t="s">
        <v>1260</v>
      </c>
      <c r="F219" s="75" t="str">
        <f>VLOOKUP($E219,'Item Classification'!B:C,2,0)</f>
        <v>Frigate - contract adjustment</v>
      </c>
      <c r="G219" s="10" t="str">
        <f>VLOOKUP($E219,'Item Classification'!B:D,3,0)</f>
        <v>Naval</v>
      </c>
      <c r="H219" s="76">
        <f>VLOOKUP($E219,'Item Classification'!B:E,4,0)</f>
        <v>12</v>
      </c>
      <c r="I219" s="81">
        <v>4</v>
      </c>
      <c r="J219" s="182">
        <f>M219/I219</f>
        <v>80750000</v>
      </c>
      <c r="K219" s="81" t="s">
        <v>162</v>
      </c>
      <c r="L219" s="81" t="s">
        <v>162</v>
      </c>
      <c r="M219" s="182">
        <v>323000000</v>
      </c>
      <c r="N219" s="10" t="s">
        <v>665</v>
      </c>
      <c r="O219" s="10" t="s">
        <v>165</v>
      </c>
      <c r="P219" s="10" t="s">
        <v>163</v>
      </c>
      <c r="Q219" s="77">
        <v>54</v>
      </c>
      <c r="R219" s="77">
        <v>1</v>
      </c>
      <c r="S219" s="77">
        <v>0</v>
      </c>
      <c r="T219" s="77">
        <v>0</v>
      </c>
      <c r="U219" s="77">
        <v>1</v>
      </c>
      <c r="V219" s="77">
        <v>1</v>
      </c>
      <c r="W219" s="77">
        <v>0</v>
      </c>
      <c r="X219" s="77">
        <v>1</v>
      </c>
      <c r="Y219" s="10" t="s">
        <v>175</v>
      </c>
      <c r="Z219" s="10" t="s">
        <v>176</v>
      </c>
      <c r="AA219" s="10" t="s">
        <v>163</v>
      </c>
      <c r="AB219" s="10" t="s">
        <v>177</v>
      </c>
      <c r="AC219" s="21" t="s">
        <v>178</v>
      </c>
      <c r="AD219" s="21" t="s">
        <v>179</v>
      </c>
      <c r="AE219" s="21" t="s">
        <v>180</v>
      </c>
      <c r="AF219" s="21" t="s">
        <v>163</v>
      </c>
      <c r="AG219" s="21" t="s">
        <v>181</v>
      </c>
      <c r="AH219" s="21" t="s">
        <v>162</v>
      </c>
      <c r="AI219" s="21" t="s">
        <v>162</v>
      </c>
      <c r="AJ219" s="21" t="s">
        <v>162</v>
      </c>
      <c r="AK219" s="21" t="s">
        <v>162</v>
      </c>
      <c r="AL219" s="21" t="s">
        <v>162</v>
      </c>
      <c r="AM219" s="21" t="s">
        <v>162</v>
      </c>
      <c r="AN219" s="21" t="s">
        <v>162</v>
      </c>
      <c r="AO219" s="10" t="s">
        <v>162</v>
      </c>
      <c r="AP219" s="21" t="s">
        <v>162</v>
      </c>
      <c r="AQ219" s="10" t="s">
        <v>1261</v>
      </c>
      <c r="AR219" s="10" t="s">
        <v>183</v>
      </c>
      <c r="AS219" s="10" t="s">
        <v>1262</v>
      </c>
      <c r="AT219" s="10" t="s">
        <v>1263</v>
      </c>
      <c r="AU219" s="10" t="s">
        <v>1264</v>
      </c>
      <c r="AV219" s="10" t="s">
        <v>162</v>
      </c>
      <c r="AW219" s="10"/>
    </row>
    <row r="220" spans="1:49">
      <c r="A220" s="10" t="s">
        <v>1265</v>
      </c>
      <c r="B220" s="10" t="s">
        <v>173</v>
      </c>
      <c r="C220" s="10" t="s">
        <v>163</v>
      </c>
      <c r="D220" s="74">
        <v>45455</v>
      </c>
      <c r="E220" s="10" t="s">
        <v>174</v>
      </c>
      <c r="F220" s="75" t="str">
        <f>VLOOKUP($E220,'Item Classification'!B:C,2,0)</f>
        <v>Frigate</v>
      </c>
      <c r="G220" s="10" t="str">
        <f>VLOOKUP($E220,'Item Classification'!B:D,3,0)</f>
        <v>Naval</v>
      </c>
      <c r="H220" s="76">
        <f>VLOOKUP($E220,'Item Classification'!B:E,4,0)</f>
        <v>12</v>
      </c>
      <c r="I220" s="81">
        <v>2</v>
      </c>
      <c r="J220" s="182">
        <f>M220/I220</f>
        <v>1590000000</v>
      </c>
      <c r="K220" s="81">
        <v>2033</v>
      </c>
      <c r="L220" s="81">
        <v>2034</v>
      </c>
      <c r="M220" s="182">
        <v>3180000000</v>
      </c>
      <c r="N220" s="10" t="s">
        <v>165</v>
      </c>
      <c r="O220" s="10" t="s">
        <v>162</v>
      </c>
      <c r="P220" s="10" t="s">
        <v>163</v>
      </c>
      <c r="Q220" s="77">
        <v>54</v>
      </c>
      <c r="R220" s="77">
        <v>1</v>
      </c>
      <c r="S220" s="77">
        <v>0</v>
      </c>
      <c r="T220" s="77">
        <v>0</v>
      </c>
      <c r="U220" s="77">
        <v>1</v>
      </c>
      <c r="V220" s="77">
        <v>1</v>
      </c>
      <c r="W220" s="77">
        <v>0</v>
      </c>
      <c r="X220" s="77">
        <v>1</v>
      </c>
      <c r="Y220" s="10" t="s">
        <v>175</v>
      </c>
      <c r="Z220" s="10" t="s">
        <v>176</v>
      </c>
      <c r="AA220" s="10" t="s">
        <v>163</v>
      </c>
      <c r="AB220" s="10" t="s">
        <v>177</v>
      </c>
      <c r="AC220" s="21" t="s">
        <v>178</v>
      </c>
      <c r="AD220" s="21" t="s">
        <v>179</v>
      </c>
      <c r="AE220" s="21" t="s">
        <v>180</v>
      </c>
      <c r="AF220" s="21" t="s">
        <v>163</v>
      </c>
      <c r="AG220" s="21" t="s">
        <v>181</v>
      </c>
      <c r="AH220" s="21" t="s">
        <v>162</v>
      </c>
      <c r="AI220" s="21" t="s">
        <v>162</v>
      </c>
      <c r="AJ220" s="21" t="s">
        <v>162</v>
      </c>
      <c r="AK220" s="21" t="s">
        <v>162</v>
      </c>
      <c r="AL220" s="21" t="s">
        <v>162</v>
      </c>
      <c r="AM220" s="21" t="s">
        <v>162</v>
      </c>
      <c r="AN220" s="21" t="s">
        <v>162</v>
      </c>
      <c r="AO220" s="10" t="s">
        <v>162</v>
      </c>
      <c r="AP220" s="21" t="s">
        <v>162</v>
      </c>
      <c r="AQ220" s="10" t="s">
        <v>1261</v>
      </c>
      <c r="AR220" s="10" t="s">
        <v>183</v>
      </c>
      <c r="AS220" s="10" t="s">
        <v>1262</v>
      </c>
      <c r="AT220" s="10" t="s">
        <v>1266</v>
      </c>
      <c r="AU220" s="10" t="s">
        <v>1267</v>
      </c>
      <c r="AV220" s="10" t="s">
        <v>162</v>
      </c>
      <c r="AW220" s="10"/>
    </row>
    <row r="221" spans="1:49">
      <c r="A221" s="10" t="s">
        <v>1268</v>
      </c>
      <c r="B221" s="10" t="s">
        <v>162</v>
      </c>
      <c r="C221" s="10" t="s">
        <v>163</v>
      </c>
      <c r="D221" s="74">
        <v>45455</v>
      </c>
      <c r="E221" s="10" t="s">
        <v>162</v>
      </c>
      <c r="F221" s="75" t="s">
        <v>1269</v>
      </c>
      <c r="G221" s="10" t="s">
        <v>1270</v>
      </c>
      <c r="H221" s="76">
        <v>8</v>
      </c>
      <c r="I221" s="81" t="s">
        <v>162</v>
      </c>
      <c r="J221" s="81" t="s">
        <v>162</v>
      </c>
      <c r="K221" s="81" t="s">
        <v>162</v>
      </c>
      <c r="L221" s="81" t="s">
        <v>162</v>
      </c>
      <c r="M221" s="182">
        <v>105000000</v>
      </c>
      <c r="N221" s="10" t="s">
        <v>165</v>
      </c>
      <c r="O221" s="10" t="s">
        <v>162</v>
      </c>
      <c r="P221" s="10" t="s">
        <v>163</v>
      </c>
      <c r="Q221" s="77">
        <v>54</v>
      </c>
      <c r="R221" s="77">
        <v>1</v>
      </c>
      <c r="S221" s="77">
        <v>0</v>
      </c>
      <c r="T221" s="77">
        <v>0</v>
      </c>
      <c r="U221" s="77" t="s">
        <v>162</v>
      </c>
      <c r="V221" s="77" t="s">
        <v>162</v>
      </c>
      <c r="W221" s="77" t="s">
        <v>162</v>
      </c>
      <c r="X221" s="77" t="s">
        <v>162</v>
      </c>
      <c r="Y221" s="10" t="s">
        <v>162</v>
      </c>
      <c r="Z221" s="10" t="s">
        <v>162</v>
      </c>
      <c r="AA221" s="10" t="s">
        <v>162</v>
      </c>
      <c r="AB221" s="10" t="s">
        <v>162</v>
      </c>
      <c r="AC221" s="10" t="s">
        <v>162</v>
      </c>
      <c r="AD221" s="10" t="s">
        <v>162</v>
      </c>
      <c r="AE221" s="10" t="s">
        <v>162</v>
      </c>
      <c r="AF221" s="10" t="s">
        <v>162</v>
      </c>
      <c r="AG221" s="10" t="s">
        <v>162</v>
      </c>
      <c r="AH221" s="10" t="s">
        <v>162</v>
      </c>
      <c r="AI221" s="10" t="s">
        <v>162</v>
      </c>
      <c r="AJ221" s="10" t="s">
        <v>162</v>
      </c>
      <c r="AK221" s="10" t="s">
        <v>162</v>
      </c>
      <c r="AL221" s="10" t="s">
        <v>162</v>
      </c>
      <c r="AM221" s="10" t="s">
        <v>162</v>
      </c>
      <c r="AN221" s="10" t="s">
        <v>162</v>
      </c>
      <c r="AO221" s="10" t="s">
        <v>162</v>
      </c>
      <c r="AP221" s="10" t="s">
        <v>162</v>
      </c>
      <c r="AQ221" s="10" t="s">
        <v>1271</v>
      </c>
      <c r="AR221" s="10" t="s">
        <v>162</v>
      </c>
      <c r="AS221" s="10" t="s">
        <v>162</v>
      </c>
      <c r="AT221" s="10" t="s">
        <v>1272</v>
      </c>
      <c r="AU221" s="10" t="s">
        <v>162</v>
      </c>
      <c r="AV221" s="10" t="s">
        <v>162</v>
      </c>
      <c r="AW221" s="10"/>
    </row>
    <row r="222" spans="1:49">
      <c r="A222" s="10" t="s">
        <v>1273</v>
      </c>
      <c r="B222" s="10" t="s">
        <v>162</v>
      </c>
      <c r="C222" s="10" t="s">
        <v>163</v>
      </c>
      <c r="D222" s="74">
        <v>45455</v>
      </c>
      <c r="E222" s="82" t="s">
        <v>1274</v>
      </c>
      <c r="F222" s="75" t="str">
        <f>VLOOKUP($E222,'Item Classification'!B:C,2,0)</f>
        <v>Small Arms and Light Weapons (SALW) ammunition</v>
      </c>
      <c r="G222" s="10" t="str">
        <f>VLOOKUP($E222,'Item Classification'!B:D,3,0)</f>
        <v>Infantry</v>
      </c>
      <c r="H222" s="76">
        <f>VLOOKUP($E222,'Item Classification'!B:E,4,0)</f>
        <v>8</v>
      </c>
      <c r="I222" s="81" t="s">
        <v>162</v>
      </c>
      <c r="J222" s="81" t="s">
        <v>162</v>
      </c>
      <c r="K222" s="81" t="s">
        <v>162</v>
      </c>
      <c r="L222" s="81" t="s">
        <v>162</v>
      </c>
      <c r="M222" s="81" t="s">
        <v>162</v>
      </c>
      <c r="N222" s="10" t="s">
        <v>165</v>
      </c>
      <c r="O222" s="10" t="s">
        <v>162</v>
      </c>
      <c r="P222" s="10" t="s">
        <v>163</v>
      </c>
      <c r="Q222" s="77">
        <v>54</v>
      </c>
      <c r="R222" s="77">
        <v>1</v>
      </c>
      <c r="S222" s="77">
        <v>0</v>
      </c>
      <c r="T222" s="77">
        <v>0</v>
      </c>
      <c r="U222" s="77" t="s">
        <v>162</v>
      </c>
      <c r="V222" s="77" t="s">
        <v>162</v>
      </c>
      <c r="W222" s="77" t="s">
        <v>162</v>
      </c>
      <c r="X222" s="77" t="s">
        <v>162</v>
      </c>
      <c r="Y222" s="10" t="s">
        <v>162</v>
      </c>
      <c r="Z222" s="10" t="s">
        <v>162</v>
      </c>
      <c r="AA222" s="10" t="s">
        <v>162</v>
      </c>
      <c r="AB222" s="10" t="s">
        <v>162</v>
      </c>
      <c r="AC222" s="10" t="s">
        <v>162</v>
      </c>
      <c r="AD222" s="10" t="s">
        <v>162</v>
      </c>
      <c r="AE222" s="10" t="s">
        <v>162</v>
      </c>
      <c r="AF222" s="10" t="s">
        <v>162</v>
      </c>
      <c r="AG222" s="10" t="s">
        <v>162</v>
      </c>
      <c r="AH222" s="10" t="s">
        <v>162</v>
      </c>
      <c r="AI222" s="10" t="s">
        <v>162</v>
      </c>
      <c r="AJ222" s="10" t="s">
        <v>162</v>
      </c>
      <c r="AK222" s="10" t="s">
        <v>162</v>
      </c>
      <c r="AL222" s="10" t="s">
        <v>162</v>
      </c>
      <c r="AM222" s="10" t="s">
        <v>162</v>
      </c>
      <c r="AN222" s="10" t="s">
        <v>162</v>
      </c>
      <c r="AO222" s="10" t="s">
        <v>162</v>
      </c>
      <c r="AP222" s="10" t="s">
        <v>162</v>
      </c>
      <c r="AQ222" s="10" t="s">
        <v>1271</v>
      </c>
      <c r="AR222" s="10" t="s">
        <v>162</v>
      </c>
      <c r="AS222" s="10" t="s">
        <v>162</v>
      </c>
      <c r="AT222" s="10" t="s">
        <v>1272</v>
      </c>
      <c r="AU222" s="10" t="s">
        <v>162</v>
      </c>
      <c r="AV222" s="10" t="s">
        <v>162</v>
      </c>
      <c r="AW222" s="10"/>
    </row>
    <row r="223" spans="1:49">
      <c r="A223" s="10" t="s">
        <v>1275</v>
      </c>
      <c r="B223" s="10" t="s">
        <v>162</v>
      </c>
      <c r="C223" s="10" t="s">
        <v>163</v>
      </c>
      <c r="D223" s="74">
        <v>45455</v>
      </c>
      <c r="E223" s="82" t="s">
        <v>1276</v>
      </c>
      <c r="F223" s="75" t="str">
        <f>VLOOKUP($E223,'Item Classification'!B:C,2,0)</f>
        <v>Small Arms and Light Weapons (SALW) ammunition</v>
      </c>
      <c r="G223" s="10" t="str">
        <f>VLOOKUP($E223,'Item Classification'!B:D,3,0)</f>
        <v>Infantry</v>
      </c>
      <c r="H223" s="76">
        <f>VLOOKUP($E223,'Item Classification'!B:E,4,0)</f>
        <v>8</v>
      </c>
      <c r="I223" s="81" t="s">
        <v>162</v>
      </c>
      <c r="J223" s="81" t="s">
        <v>162</v>
      </c>
      <c r="K223" s="81" t="s">
        <v>162</v>
      </c>
      <c r="L223" s="81" t="s">
        <v>162</v>
      </c>
      <c r="M223" s="81" t="s">
        <v>162</v>
      </c>
      <c r="N223" s="10" t="s">
        <v>165</v>
      </c>
      <c r="O223" s="10" t="s">
        <v>162</v>
      </c>
      <c r="P223" s="10" t="s">
        <v>163</v>
      </c>
      <c r="Q223" s="77">
        <v>54</v>
      </c>
      <c r="R223" s="77">
        <v>1</v>
      </c>
      <c r="S223" s="77">
        <v>0</v>
      </c>
      <c r="T223" s="77">
        <v>0</v>
      </c>
      <c r="U223" s="77" t="s">
        <v>162</v>
      </c>
      <c r="V223" s="77" t="s">
        <v>162</v>
      </c>
      <c r="W223" s="77" t="s">
        <v>162</v>
      </c>
      <c r="X223" s="77" t="s">
        <v>162</v>
      </c>
      <c r="Y223" s="10" t="s">
        <v>162</v>
      </c>
      <c r="Z223" s="10" t="s">
        <v>162</v>
      </c>
      <c r="AA223" s="10" t="s">
        <v>162</v>
      </c>
      <c r="AB223" s="10" t="s">
        <v>162</v>
      </c>
      <c r="AC223" s="10" t="s">
        <v>162</v>
      </c>
      <c r="AD223" s="10" t="s">
        <v>162</v>
      </c>
      <c r="AE223" s="10" t="s">
        <v>162</v>
      </c>
      <c r="AF223" s="10" t="s">
        <v>162</v>
      </c>
      <c r="AG223" s="10" t="s">
        <v>162</v>
      </c>
      <c r="AH223" s="10" t="s">
        <v>162</v>
      </c>
      <c r="AI223" s="10" t="s">
        <v>162</v>
      </c>
      <c r="AJ223" s="10" t="s">
        <v>162</v>
      </c>
      <c r="AK223" s="10" t="s">
        <v>162</v>
      </c>
      <c r="AL223" s="10" t="s">
        <v>162</v>
      </c>
      <c r="AM223" s="10" t="s">
        <v>162</v>
      </c>
      <c r="AN223" s="10" t="s">
        <v>162</v>
      </c>
      <c r="AO223" s="10" t="s">
        <v>162</v>
      </c>
      <c r="AP223" s="10" t="s">
        <v>162</v>
      </c>
      <c r="AQ223" s="10" t="s">
        <v>1271</v>
      </c>
      <c r="AR223" s="10" t="s">
        <v>162</v>
      </c>
      <c r="AS223" s="10" t="s">
        <v>162</v>
      </c>
      <c r="AT223" s="10" t="s">
        <v>1272</v>
      </c>
      <c r="AU223" s="10" t="s">
        <v>162</v>
      </c>
      <c r="AV223" s="10" t="s">
        <v>162</v>
      </c>
      <c r="AW223" s="10"/>
    </row>
    <row r="224" spans="1:49">
      <c r="A224" s="10" t="s">
        <v>1277</v>
      </c>
      <c r="B224" s="10" t="s">
        <v>162</v>
      </c>
      <c r="C224" s="10" t="s">
        <v>163</v>
      </c>
      <c r="D224" s="74">
        <v>45455</v>
      </c>
      <c r="E224" s="21" t="s">
        <v>1278</v>
      </c>
      <c r="F224" s="75" t="str">
        <f>VLOOKUP($E224,'Item Classification'!B:C,2,0)</f>
        <v>Fighter aircraft display</v>
      </c>
      <c r="G224" s="10" t="str">
        <f>VLOOKUP($E224,'Item Classification'!B:D,3,0)</f>
        <v>Aircraft</v>
      </c>
      <c r="H224" s="76">
        <f>VLOOKUP($E224,'Item Classification'!B:E,4,0)</f>
        <v>11</v>
      </c>
      <c r="I224" s="81">
        <v>45</v>
      </c>
      <c r="J224" s="182">
        <f>M224/I224</f>
        <v>1466666.6666666667</v>
      </c>
      <c r="K224" s="81">
        <v>2026</v>
      </c>
      <c r="L224" s="81" t="s">
        <v>162</v>
      </c>
      <c r="M224" s="182">
        <v>66000000</v>
      </c>
      <c r="N224" s="10" t="s">
        <v>665</v>
      </c>
      <c r="O224" s="10" t="s">
        <v>165</v>
      </c>
      <c r="P224" s="10" t="s">
        <v>163</v>
      </c>
      <c r="Q224" s="77">
        <v>54</v>
      </c>
      <c r="R224" s="77">
        <v>0</v>
      </c>
      <c r="S224" s="77">
        <v>0</v>
      </c>
      <c r="T224" s="77">
        <v>0</v>
      </c>
      <c r="U224" s="77">
        <v>1</v>
      </c>
      <c r="V224" s="77">
        <v>1</v>
      </c>
      <c r="W224" s="77">
        <v>0</v>
      </c>
      <c r="X224" s="77">
        <v>1</v>
      </c>
      <c r="Y224" s="10" t="s">
        <v>354</v>
      </c>
      <c r="Z224" s="10" t="s">
        <v>163</v>
      </c>
      <c r="AA224" s="10" t="s">
        <v>162</v>
      </c>
      <c r="AB224" s="10" t="s">
        <v>162</v>
      </c>
      <c r="AC224" s="10" t="s">
        <v>162</v>
      </c>
      <c r="AD224" s="10" t="s">
        <v>162</v>
      </c>
      <c r="AE224" s="10" t="s">
        <v>162</v>
      </c>
      <c r="AF224" s="10" t="s">
        <v>252</v>
      </c>
      <c r="AG224" s="10" t="s">
        <v>219</v>
      </c>
      <c r="AH224" s="10" t="s">
        <v>162</v>
      </c>
      <c r="AI224" s="10" t="s">
        <v>162</v>
      </c>
      <c r="AJ224" s="10" t="s">
        <v>162</v>
      </c>
      <c r="AK224" s="10" t="s">
        <v>162</v>
      </c>
      <c r="AL224" s="10" t="s">
        <v>162</v>
      </c>
      <c r="AM224" s="10" t="s">
        <v>162</v>
      </c>
      <c r="AN224" s="10" t="s">
        <v>162</v>
      </c>
      <c r="AO224" s="10" t="s">
        <v>162</v>
      </c>
      <c r="AP224" s="10" t="s">
        <v>162</v>
      </c>
      <c r="AQ224" s="10" t="s">
        <v>1271</v>
      </c>
      <c r="AR224" s="10" t="s">
        <v>1279</v>
      </c>
      <c r="AS224" s="10" t="s">
        <v>162</v>
      </c>
      <c r="AT224" s="10" t="s">
        <v>1280</v>
      </c>
      <c r="AU224" s="10" t="s">
        <v>1281</v>
      </c>
      <c r="AV224" s="10" t="s">
        <v>162</v>
      </c>
      <c r="AW224" s="10"/>
    </row>
    <row r="225" spans="1:49">
      <c r="A225" s="10" t="s">
        <v>1282</v>
      </c>
      <c r="B225" s="10" t="s">
        <v>162</v>
      </c>
      <c r="C225" s="10" t="s">
        <v>163</v>
      </c>
      <c r="D225" s="74">
        <v>45469</v>
      </c>
      <c r="E225" s="10" t="s">
        <v>1283</v>
      </c>
      <c r="F225" s="75" t="str">
        <f>VLOOKUP($E225,'Item Classification'!B:C,2,0)</f>
        <v>Communication and digitalisation</v>
      </c>
      <c r="G225" s="10" t="str">
        <f>VLOOKUP($E225,'Item Classification'!B:D,3,0)</f>
        <v>Modernisation</v>
      </c>
      <c r="H225" s="76">
        <f>VLOOKUP($E225,'Item Classification'!B:E,4,0)</f>
        <v>13</v>
      </c>
      <c r="I225" s="81" t="s">
        <v>162</v>
      </c>
      <c r="J225" s="81" t="s">
        <v>162</v>
      </c>
      <c r="K225" s="81">
        <v>2027</v>
      </c>
      <c r="L225" s="81" t="s">
        <v>162</v>
      </c>
      <c r="M225" s="183">
        <v>2200000000</v>
      </c>
      <c r="N225" s="10" t="s">
        <v>665</v>
      </c>
      <c r="O225" s="10" t="s">
        <v>165</v>
      </c>
      <c r="P225" s="10" t="s">
        <v>163</v>
      </c>
      <c r="Q225" s="77">
        <v>54</v>
      </c>
      <c r="R225" s="77">
        <v>0</v>
      </c>
      <c r="S225" s="77">
        <v>0</v>
      </c>
      <c r="T225" s="77">
        <v>0</v>
      </c>
      <c r="U225" s="77">
        <v>1</v>
      </c>
      <c r="V225" s="77">
        <v>0</v>
      </c>
      <c r="W225" s="77">
        <v>0</v>
      </c>
      <c r="X225" s="77">
        <v>0</v>
      </c>
      <c r="Y225" s="21" t="s">
        <v>168</v>
      </c>
      <c r="Z225" s="21" t="s">
        <v>163</v>
      </c>
      <c r="AA225" s="10" t="s">
        <v>162</v>
      </c>
      <c r="AB225" s="21" t="s">
        <v>162</v>
      </c>
      <c r="AC225" s="21" t="s">
        <v>162</v>
      </c>
      <c r="AD225" s="21" t="s">
        <v>162</v>
      </c>
      <c r="AE225" s="21" t="s">
        <v>162</v>
      </c>
      <c r="AF225" s="21" t="s">
        <v>162</v>
      </c>
      <c r="AG225" s="21" t="s">
        <v>162</v>
      </c>
      <c r="AH225" s="21" t="s">
        <v>162</v>
      </c>
      <c r="AI225" s="21" t="s">
        <v>162</v>
      </c>
      <c r="AJ225" s="21" t="s">
        <v>162</v>
      </c>
      <c r="AK225" s="21" t="s">
        <v>162</v>
      </c>
      <c r="AL225" s="21" t="s">
        <v>162</v>
      </c>
      <c r="AM225" s="21" t="s">
        <v>162</v>
      </c>
      <c r="AN225" s="21" t="s">
        <v>162</v>
      </c>
      <c r="AO225" s="21" t="s">
        <v>162</v>
      </c>
      <c r="AP225" s="21" t="s">
        <v>162</v>
      </c>
      <c r="AQ225" s="10" t="s">
        <v>1284</v>
      </c>
      <c r="AR225" s="10" t="s">
        <v>1285</v>
      </c>
      <c r="AS225" s="10" t="s">
        <v>1286</v>
      </c>
      <c r="AT225" s="10" t="s">
        <v>1287</v>
      </c>
      <c r="AU225" s="10" t="s">
        <v>1288</v>
      </c>
      <c r="AV225" s="10" t="s">
        <v>162</v>
      </c>
      <c r="AW225" s="10"/>
    </row>
    <row r="226" spans="1:49">
      <c r="A226" s="10" t="s">
        <v>1289</v>
      </c>
      <c r="B226" s="10" t="s">
        <v>162</v>
      </c>
      <c r="C226" s="10" t="s">
        <v>163</v>
      </c>
      <c r="D226" s="74">
        <v>45469</v>
      </c>
      <c r="E226" s="21" t="s">
        <v>1290</v>
      </c>
      <c r="F226" s="75" t="str">
        <f>VLOOKUP($E226,'Item Classification'!B:C,2,0)</f>
        <v>Non-combat military vehicle</v>
      </c>
      <c r="G226" s="10" t="str">
        <f>VLOOKUP($E226,'Item Classification'!B:D,3,0)</f>
        <v>Other</v>
      </c>
      <c r="H226" s="76">
        <f>VLOOKUP($E226,'Item Classification'!B:E,4,0)</f>
        <v>16</v>
      </c>
      <c r="I226" s="81">
        <v>610</v>
      </c>
      <c r="J226" s="182">
        <f>M226/I226</f>
        <v>513114.75409836066</v>
      </c>
      <c r="K226" s="81">
        <v>2024</v>
      </c>
      <c r="L226" s="81" t="s">
        <v>162</v>
      </c>
      <c r="M226" s="183">
        <v>313000000</v>
      </c>
      <c r="N226" s="10" t="s">
        <v>665</v>
      </c>
      <c r="O226" s="10" t="s">
        <v>165</v>
      </c>
      <c r="P226" s="10" t="s">
        <v>163</v>
      </c>
      <c r="Q226" s="77">
        <v>54</v>
      </c>
      <c r="R226" s="77">
        <v>1</v>
      </c>
      <c r="S226" s="77">
        <v>0</v>
      </c>
      <c r="T226" s="77">
        <v>0</v>
      </c>
      <c r="U226" s="77">
        <v>1</v>
      </c>
      <c r="V226" s="77">
        <v>0</v>
      </c>
      <c r="W226" s="77">
        <v>0</v>
      </c>
      <c r="X226" s="77">
        <v>0</v>
      </c>
      <c r="Y226" s="21" t="s">
        <v>268</v>
      </c>
      <c r="Z226" s="21" t="s">
        <v>163</v>
      </c>
      <c r="AA226" s="21" t="s">
        <v>162</v>
      </c>
      <c r="AB226" s="21" t="s">
        <v>162</v>
      </c>
      <c r="AC226" s="21" t="s">
        <v>162</v>
      </c>
      <c r="AD226" s="21" t="s">
        <v>162</v>
      </c>
      <c r="AE226" s="21" t="s">
        <v>162</v>
      </c>
      <c r="AF226" s="21" t="s">
        <v>162</v>
      </c>
      <c r="AG226" s="21" t="s">
        <v>162</v>
      </c>
      <c r="AH226" s="21" t="s">
        <v>162</v>
      </c>
      <c r="AI226" s="21" t="s">
        <v>162</v>
      </c>
      <c r="AJ226" s="21" t="s">
        <v>162</v>
      </c>
      <c r="AK226" s="21" t="s">
        <v>162</v>
      </c>
      <c r="AL226" s="21" t="s">
        <v>162</v>
      </c>
      <c r="AM226" s="21" t="s">
        <v>162</v>
      </c>
      <c r="AN226" s="21" t="s">
        <v>162</v>
      </c>
      <c r="AO226" s="21" t="s">
        <v>162</v>
      </c>
      <c r="AP226" s="21" t="s">
        <v>162</v>
      </c>
      <c r="AQ226" s="10" t="s">
        <v>1291</v>
      </c>
      <c r="AR226" s="10" t="s">
        <v>1292</v>
      </c>
      <c r="AS226" s="10" t="s">
        <v>1293</v>
      </c>
      <c r="AT226" s="5" t="s">
        <v>1294</v>
      </c>
      <c r="AU226" s="10" t="s">
        <v>1295</v>
      </c>
      <c r="AV226" s="10" t="s">
        <v>162</v>
      </c>
      <c r="AW226" s="10"/>
    </row>
    <row r="227" spans="1:49">
      <c r="A227" s="10" t="s">
        <v>1296</v>
      </c>
      <c r="B227" s="10" t="s">
        <v>162</v>
      </c>
      <c r="C227" s="10" t="s">
        <v>163</v>
      </c>
      <c r="D227" s="74">
        <v>45469</v>
      </c>
      <c r="E227" s="10" t="s">
        <v>1297</v>
      </c>
      <c r="F227" s="75" t="str">
        <f>VLOOKUP($E227,'Item Classification'!B:C,2,0)</f>
        <v>Non-combat military vehicle</v>
      </c>
      <c r="G227" s="10" t="str">
        <f>VLOOKUP($E227,'Item Classification'!B:D,3,0)</f>
        <v>Other</v>
      </c>
      <c r="H227" s="76">
        <f>VLOOKUP($E227,'Item Classification'!B:E,4,0)</f>
        <v>16</v>
      </c>
      <c r="I227" s="81">
        <v>60</v>
      </c>
      <c r="J227" s="182">
        <f>M227/I227</f>
        <v>1400000</v>
      </c>
      <c r="K227" s="81">
        <v>2026</v>
      </c>
      <c r="L227" s="81">
        <v>2029</v>
      </c>
      <c r="M227" s="183">
        <v>84000000</v>
      </c>
      <c r="N227" s="10" t="s">
        <v>665</v>
      </c>
      <c r="O227" s="10" t="s">
        <v>165</v>
      </c>
      <c r="P227" s="10" t="s">
        <v>163</v>
      </c>
      <c r="Q227" s="77">
        <v>54</v>
      </c>
      <c r="R227" s="77">
        <v>1</v>
      </c>
      <c r="S227" s="77">
        <v>0</v>
      </c>
      <c r="T227" s="77">
        <v>0</v>
      </c>
      <c r="U227" s="77" t="s">
        <v>162</v>
      </c>
      <c r="V227" s="77" t="s">
        <v>162</v>
      </c>
      <c r="W227" s="77" t="s">
        <v>162</v>
      </c>
      <c r="X227" s="77" t="s">
        <v>162</v>
      </c>
      <c r="Y227" s="21" t="s">
        <v>162</v>
      </c>
      <c r="Z227" s="21" t="s">
        <v>162</v>
      </c>
      <c r="AA227" s="21" t="s">
        <v>162</v>
      </c>
      <c r="AB227" s="21" t="s">
        <v>162</v>
      </c>
      <c r="AC227" s="21" t="s">
        <v>162</v>
      </c>
      <c r="AD227" s="21" t="s">
        <v>162</v>
      </c>
      <c r="AE227" s="21" t="s">
        <v>162</v>
      </c>
      <c r="AF227" s="21" t="s">
        <v>162</v>
      </c>
      <c r="AG227" s="21" t="s">
        <v>162</v>
      </c>
      <c r="AH227" s="21" t="s">
        <v>162</v>
      </c>
      <c r="AI227" s="21" t="s">
        <v>162</v>
      </c>
      <c r="AJ227" s="21" t="s">
        <v>162</v>
      </c>
      <c r="AK227" s="21" t="s">
        <v>162</v>
      </c>
      <c r="AL227" s="21" t="s">
        <v>162</v>
      </c>
      <c r="AM227" s="21" t="s">
        <v>162</v>
      </c>
      <c r="AN227" s="21" t="s">
        <v>162</v>
      </c>
      <c r="AO227" s="21" t="s">
        <v>162</v>
      </c>
      <c r="AP227" s="21" t="s">
        <v>162</v>
      </c>
      <c r="AQ227" s="10" t="s">
        <v>1291</v>
      </c>
      <c r="AR227" s="88" t="s">
        <v>1292</v>
      </c>
      <c r="AS227" s="10" t="s">
        <v>162</v>
      </c>
      <c r="AT227" s="10" t="s">
        <v>1298</v>
      </c>
      <c r="AU227" s="88" t="s">
        <v>1299</v>
      </c>
      <c r="AV227" s="10" t="s">
        <v>162</v>
      </c>
      <c r="AW227" s="10"/>
    </row>
    <row r="228" spans="1:49">
      <c r="A228" s="10" t="s">
        <v>1300</v>
      </c>
      <c r="B228" s="10" t="s">
        <v>162</v>
      </c>
      <c r="C228" s="10" t="s">
        <v>163</v>
      </c>
      <c r="D228" s="74">
        <v>45469</v>
      </c>
      <c r="E228" s="10" t="s">
        <v>1301</v>
      </c>
      <c r="F228" s="75" t="str">
        <f>VLOOKUP($E228,'Item Classification'!B:C,2,0)</f>
        <v>Light armoured reconnaissance vehicle equipment</v>
      </c>
      <c r="G228" s="10" t="str">
        <f>VLOOKUP($E228,'Item Classification'!B:D,3,0)</f>
        <v>Armoured vehicle</v>
      </c>
      <c r="H228" s="76">
        <f>VLOOKUP($E228,'Item Classification'!B:E,4,0)</f>
        <v>2</v>
      </c>
      <c r="I228" s="81" t="s">
        <v>162</v>
      </c>
      <c r="J228" s="81" t="s">
        <v>162</v>
      </c>
      <c r="K228" s="81">
        <v>2027</v>
      </c>
      <c r="L228" s="81">
        <v>2029</v>
      </c>
      <c r="M228" s="183">
        <v>86000000</v>
      </c>
      <c r="N228" s="10" t="s">
        <v>665</v>
      </c>
      <c r="O228" s="10" t="s">
        <v>165</v>
      </c>
      <c r="P228" s="10" t="s">
        <v>163</v>
      </c>
      <c r="Q228" s="77">
        <v>54</v>
      </c>
      <c r="R228" s="77">
        <v>0</v>
      </c>
      <c r="S228" s="77">
        <v>0</v>
      </c>
      <c r="T228" s="77">
        <v>0</v>
      </c>
      <c r="U228" s="77" t="s">
        <v>162</v>
      </c>
      <c r="V228" s="77" t="s">
        <v>162</v>
      </c>
      <c r="W228" s="77" t="s">
        <v>162</v>
      </c>
      <c r="X228" s="77" t="s">
        <v>162</v>
      </c>
      <c r="Y228" s="21" t="s">
        <v>162</v>
      </c>
      <c r="Z228" s="21" t="s">
        <v>162</v>
      </c>
      <c r="AA228" s="21" t="s">
        <v>162</v>
      </c>
      <c r="AB228" s="21" t="s">
        <v>162</v>
      </c>
      <c r="AC228" s="21" t="s">
        <v>162</v>
      </c>
      <c r="AD228" s="21" t="s">
        <v>162</v>
      </c>
      <c r="AE228" s="21" t="s">
        <v>162</v>
      </c>
      <c r="AF228" s="21" t="s">
        <v>162</v>
      </c>
      <c r="AG228" s="21" t="s">
        <v>162</v>
      </c>
      <c r="AH228" s="21" t="s">
        <v>162</v>
      </c>
      <c r="AI228" s="21" t="s">
        <v>162</v>
      </c>
      <c r="AJ228" s="21" t="s">
        <v>162</v>
      </c>
      <c r="AK228" s="21" t="s">
        <v>162</v>
      </c>
      <c r="AL228" s="21" t="s">
        <v>162</v>
      </c>
      <c r="AM228" s="21" t="s">
        <v>162</v>
      </c>
      <c r="AN228" s="21" t="s">
        <v>162</v>
      </c>
      <c r="AO228" s="21" t="s">
        <v>162</v>
      </c>
      <c r="AP228" s="21" t="s">
        <v>162</v>
      </c>
      <c r="AQ228" s="10" t="s">
        <v>1291</v>
      </c>
      <c r="AR228" s="10" t="s">
        <v>1292</v>
      </c>
      <c r="AS228" s="10" t="s">
        <v>162</v>
      </c>
      <c r="AT228" s="10" t="s">
        <v>1302</v>
      </c>
      <c r="AU228" s="10" t="s">
        <v>1303</v>
      </c>
      <c r="AV228" s="10" t="s">
        <v>162</v>
      </c>
      <c r="AW228" s="10"/>
    </row>
    <row r="229" spans="1:49">
      <c r="A229" s="10" t="s">
        <v>1304</v>
      </c>
      <c r="B229" s="10" t="s">
        <v>524</v>
      </c>
      <c r="C229" s="10" t="s">
        <v>163</v>
      </c>
      <c r="D229" s="74">
        <v>45469</v>
      </c>
      <c r="E229" s="10" t="s">
        <v>1305</v>
      </c>
      <c r="F229" s="75" t="str">
        <f>VLOOKUP($E229,'Item Classification'!B:C,2,0)</f>
        <v>Frigate modernization</v>
      </c>
      <c r="G229" s="10" t="str">
        <f>VLOOKUP($E229,'Item Classification'!B:D,3,0)</f>
        <v>Naval</v>
      </c>
      <c r="H229" s="76">
        <f>VLOOKUP($E229,'Item Classification'!B:E,4,0)</f>
        <v>12</v>
      </c>
      <c r="I229" s="81">
        <v>4</v>
      </c>
      <c r="J229" s="182">
        <f>M229/I229</f>
        <v>25750000</v>
      </c>
      <c r="K229" s="81" t="s">
        <v>162</v>
      </c>
      <c r="L229" s="81" t="s">
        <v>162</v>
      </c>
      <c r="M229" s="183">
        <v>103000000</v>
      </c>
      <c r="N229" s="10" t="s">
        <v>665</v>
      </c>
      <c r="O229" s="10" t="s">
        <v>165</v>
      </c>
      <c r="P229" s="10" t="s">
        <v>163</v>
      </c>
      <c r="Q229" s="77">
        <v>54</v>
      </c>
      <c r="R229" s="77">
        <v>0</v>
      </c>
      <c r="S229" s="77">
        <v>0</v>
      </c>
      <c r="T229" s="77">
        <v>0</v>
      </c>
      <c r="U229" s="77">
        <v>0</v>
      </c>
      <c r="V229" s="77">
        <v>0</v>
      </c>
      <c r="W229" s="77">
        <v>0</v>
      </c>
      <c r="X229" s="77">
        <v>0</v>
      </c>
      <c r="Y229" s="21" t="s">
        <v>728</v>
      </c>
      <c r="Z229" s="21" t="s">
        <v>167</v>
      </c>
      <c r="AA229" s="21" t="s">
        <v>162</v>
      </c>
      <c r="AB229" s="21" t="s">
        <v>162</v>
      </c>
      <c r="AC229" s="21" t="s">
        <v>162</v>
      </c>
      <c r="AD229" s="21" t="s">
        <v>162</v>
      </c>
      <c r="AE229" s="21" t="s">
        <v>162</v>
      </c>
      <c r="AF229" s="21" t="s">
        <v>162</v>
      </c>
      <c r="AG229" s="21" t="s">
        <v>162</v>
      </c>
      <c r="AH229" s="21" t="s">
        <v>162</v>
      </c>
      <c r="AI229" s="21" t="s">
        <v>162</v>
      </c>
      <c r="AJ229" s="21" t="s">
        <v>162</v>
      </c>
      <c r="AK229" s="21" t="s">
        <v>162</v>
      </c>
      <c r="AL229" s="21" t="s">
        <v>162</v>
      </c>
      <c r="AM229" s="21" t="s">
        <v>162</v>
      </c>
      <c r="AN229" s="21" t="s">
        <v>162</v>
      </c>
      <c r="AO229" s="21" t="s">
        <v>162</v>
      </c>
      <c r="AP229" s="21" t="s">
        <v>162</v>
      </c>
      <c r="AQ229" s="10" t="s">
        <v>1291</v>
      </c>
      <c r="AR229" s="10" t="s">
        <v>1292</v>
      </c>
      <c r="AS229" s="10" t="s">
        <v>1285</v>
      </c>
      <c r="AT229" s="10" t="s">
        <v>1306</v>
      </c>
      <c r="AU229" s="10" t="s">
        <v>1307</v>
      </c>
      <c r="AV229" s="10" t="s">
        <v>1308</v>
      </c>
      <c r="AW229" s="10" t="s">
        <v>162</v>
      </c>
    </row>
    <row r="230" spans="1:49">
      <c r="A230" s="10" t="s">
        <v>1309</v>
      </c>
      <c r="B230" s="10" t="s">
        <v>162</v>
      </c>
      <c r="C230" s="10" t="s">
        <v>163</v>
      </c>
      <c r="D230" s="74">
        <v>45469</v>
      </c>
      <c r="E230" s="10" t="s">
        <v>1310</v>
      </c>
      <c r="F230" s="75" t="str">
        <f>VLOOKUP($E230,'Item Classification'!B:C,2,0)</f>
        <v>Supersonic anti-ship missile development</v>
      </c>
      <c r="G230" s="10" t="str">
        <f>VLOOKUP($E230,'Item Classification'!B:D,3,0)</f>
        <v>Development - Missile (Naval)</v>
      </c>
      <c r="H230" s="76">
        <f>VLOOKUP($E230,'Item Classification'!B:E,4,0)</f>
        <v>15</v>
      </c>
      <c r="I230" s="81" t="s">
        <v>162</v>
      </c>
      <c r="J230" s="81" t="s">
        <v>162</v>
      </c>
      <c r="K230" s="81" t="s">
        <v>162</v>
      </c>
      <c r="L230" s="81" t="s">
        <v>162</v>
      </c>
      <c r="M230" s="183">
        <v>224000000</v>
      </c>
      <c r="N230" s="10" t="s">
        <v>665</v>
      </c>
      <c r="O230" s="10" t="s">
        <v>165</v>
      </c>
      <c r="P230" s="10" t="s">
        <v>163</v>
      </c>
      <c r="Q230" s="77">
        <v>54</v>
      </c>
      <c r="R230" s="77">
        <v>0</v>
      </c>
      <c r="S230" s="77">
        <v>0</v>
      </c>
      <c r="T230" s="77">
        <v>0</v>
      </c>
      <c r="U230" s="77">
        <v>1</v>
      </c>
      <c r="V230" s="77">
        <v>1</v>
      </c>
      <c r="W230" s="77">
        <v>0</v>
      </c>
      <c r="X230" s="77">
        <v>1</v>
      </c>
      <c r="Y230" s="21" t="s">
        <v>1311</v>
      </c>
      <c r="Z230" s="21" t="s">
        <v>465</v>
      </c>
      <c r="AA230" s="21" t="s">
        <v>162</v>
      </c>
      <c r="AB230" s="21" t="s">
        <v>213</v>
      </c>
      <c r="AC230" s="21" t="s">
        <v>1312</v>
      </c>
      <c r="AD230" s="21" t="s">
        <v>162</v>
      </c>
      <c r="AE230" s="21" t="s">
        <v>162</v>
      </c>
      <c r="AF230" s="21" t="s">
        <v>163</v>
      </c>
      <c r="AG230" s="21" t="s">
        <v>162</v>
      </c>
      <c r="AH230" s="21" t="s">
        <v>162</v>
      </c>
      <c r="AI230" s="21" t="s">
        <v>162</v>
      </c>
      <c r="AJ230" s="21" t="s">
        <v>162</v>
      </c>
      <c r="AK230" s="21" t="s">
        <v>162</v>
      </c>
      <c r="AL230" s="21" t="s">
        <v>162</v>
      </c>
      <c r="AM230" s="21" t="s">
        <v>162</v>
      </c>
      <c r="AN230" s="21" t="s">
        <v>162</v>
      </c>
      <c r="AO230" s="21" t="s">
        <v>162</v>
      </c>
      <c r="AP230" s="21" t="s">
        <v>162</v>
      </c>
      <c r="AQ230" s="10" t="s">
        <v>1313</v>
      </c>
      <c r="AR230" s="10" t="s">
        <v>1292</v>
      </c>
      <c r="AS230" s="10" t="s">
        <v>1314</v>
      </c>
      <c r="AT230" s="10" t="s">
        <v>1315</v>
      </c>
      <c r="AU230" s="10" t="s">
        <v>1316</v>
      </c>
      <c r="AV230" s="10" t="s">
        <v>1317</v>
      </c>
      <c r="AW230" s="10" t="s">
        <v>162</v>
      </c>
    </row>
    <row r="231" spans="1:49">
      <c r="A231" s="10" t="s">
        <v>1318</v>
      </c>
      <c r="B231" s="10" t="s">
        <v>162</v>
      </c>
      <c r="C231" s="10" t="s">
        <v>163</v>
      </c>
      <c r="D231" s="74">
        <v>45469</v>
      </c>
      <c r="E231" s="21" t="s">
        <v>1319</v>
      </c>
      <c r="F231" s="75" t="str">
        <f>VLOOKUP($E231,'Item Classification'!B:C,2,0)</f>
        <v>Air-to-surface missile (ASM)</v>
      </c>
      <c r="G231" s="10" t="str">
        <f>VLOOKUP($E231,'Item Classification'!B:D,3,0)</f>
        <v>Missile (Air)</v>
      </c>
      <c r="H231" s="76">
        <f>VLOOKUP($E231,'Item Classification'!B:E,4,0)</f>
        <v>6</v>
      </c>
      <c r="I231" s="81">
        <v>274</v>
      </c>
      <c r="J231" s="182">
        <f>M231/I231</f>
        <v>1372262.7737226277</v>
      </c>
      <c r="K231" s="81">
        <v>2028</v>
      </c>
      <c r="L231" s="81" t="s">
        <v>162</v>
      </c>
      <c r="M231" s="183">
        <v>376000000</v>
      </c>
      <c r="N231" s="10" t="s">
        <v>665</v>
      </c>
      <c r="O231" s="10" t="s">
        <v>165</v>
      </c>
      <c r="P231" s="10" t="s">
        <v>163</v>
      </c>
      <c r="Q231" s="77">
        <v>54</v>
      </c>
      <c r="R231" s="77">
        <v>1</v>
      </c>
      <c r="S231" s="77">
        <v>0</v>
      </c>
      <c r="T231" s="77">
        <v>0</v>
      </c>
      <c r="U231" s="77">
        <v>1</v>
      </c>
      <c r="V231" s="77">
        <v>1</v>
      </c>
      <c r="W231" s="77">
        <v>0</v>
      </c>
      <c r="X231" s="77">
        <v>1</v>
      </c>
      <c r="Y231" s="21" t="s">
        <v>1312</v>
      </c>
      <c r="Z231" s="21" t="s">
        <v>252</v>
      </c>
      <c r="AA231" s="21" t="s">
        <v>162</v>
      </c>
      <c r="AB231" s="21" t="s">
        <v>1320</v>
      </c>
      <c r="AC231" s="21" t="s">
        <v>162</v>
      </c>
      <c r="AD231" s="21" t="s">
        <v>162</v>
      </c>
      <c r="AE231" s="21" t="s">
        <v>162</v>
      </c>
      <c r="AF231" s="21" t="s">
        <v>163</v>
      </c>
      <c r="AG231" s="21" t="s">
        <v>162</v>
      </c>
      <c r="AH231" s="21" t="s">
        <v>162</v>
      </c>
      <c r="AI231" s="21" t="s">
        <v>162</v>
      </c>
      <c r="AJ231" s="21" t="s">
        <v>162</v>
      </c>
      <c r="AK231" s="21" t="s">
        <v>162</v>
      </c>
      <c r="AL231" s="21" t="s">
        <v>162</v>
      </c>
      <c r="AM231" s="21" t="s">
        <v>162</v>
      </c>
      <c r="AN231" s="21" t="s">
        <v>162</v>
      </c>
      <c r="AO231" s="21" t="s">
        <v>162</v>
      </c>
      <c r="AP231" s="21" t="s">
        <v>162</v>
      </c>
      <c r="AQ231" s="10" t="s">
        <v>1321</v>
      </c>
      <c r="AR231" s="10" t="s">
        <v>1322</v>
      </c>
      <c r="AS231" s="10" t="s">
        <v>1323</v>
      </c>
      <c r="AT231" s="10" t="s">
        <v>1324</v>
      </c>
      <c r="AU231" s="10" t="s">
        <v>1325</v>
      </c>
      <c r="AV231" s="10" t="s">
        <v>1326</v>
      </c>
      <c r="AW231" s="143" t="s">
        <v>162</v>
      </c>
    </row>
    <row r="232" spans="1:49">
      <c r="A232" s="10" t="s">
        <v>1327</v>
      </c>
      <c r="B232" s="10" t="s">
        <v>162</v>
      </c>
      <c r="C232" s="10" t="s">
        <v>163</v>
      </c>
      <c r="D232" s="74">
        <v>45469</v>
      </c>
      <c r="E232" s="10" t="s">
        <v>1328</v>
      </c>
      <c r="F232" s="75" t="str">
        <f>VLOOKUP($E232,'Item Classification'!B:C,2,0)</f>
        <v>Man-portable surface-to-air missile system (MANPADS)</v>
      </c>
      <c r="G232" s="10" t="str">
        <f>VLOOKUP($E232,'Item Classification'!B:D,3,0)</f>
        <v>Missile (Land)</v>
      </c>
      <c r="H232" s="76">
        <f>VLOOKUP($E232,'Item Classification'!B:E,4,0)</f>
        <v>6</v>
      </c>
      <c r="I232" s="81">
        <v>506</v>
      </c>
      <c r="J232" s="182">
        <f>M232/I232</f>
        <v>780632.41106719372</v>
      </c>
      <c r="K232" s="81">
        <v>2028</v>
      </c>
      <c r="L232" s="81">
        <v>2029</v>
      </c>
      <c r="M232" s="183">
        <v>395000000</v>
      </c>
      <c r="N232" s="10" t="s">
        <v>784</v>
      </c>
      <c r="O232" s="10" t="s">
        <v>162</v>
      </c>
      <c r="P232" s="10" t="s">
        <v>163</v>
      </c>
      <c r="Q232" s="77">
        <v>54</v>
      </c>
      <c r="R232" s="77">
        <v>0</v>
      </c>
      <c r="S232" s="77">
        <v>0</v>
      </c>
      <c r="T232" s="77">
        <v>0</v>
      </c>
      <c r="U232" s="77">
        <v>0</v>
      </c>
      <c r="V232" s="77">
        <v>0</v>
      </c>
      <c r="W232" s="77">
        <v>0</v>
      </c>
      <c r="X232" s="77">
        <v>0</v>
      </c>
      <c r="Y232" s="21" t="s">
        <v>702</v>
      </c>
      <c r="Z232" s="21" t="s">
        <v>218</v>
      </c>
      <c r="AA232" s="21" t="s">
        <v>162</v>
      </c>
      <c r="AB232" s="21" t="s">
        <v>162</v>
      </c>
      <c r="AC232" s="21" t="s">
        <v>162</v>
      </c>
      <c r="AD232" s="21" t="s">
        <v>162</v>
      </c>
      <c r="AE232" s="21" t="s">
        <v>162</v>
      </c>
      <c r="AF232" s="21" t="s">
        <v>162</v>
      </c>
      <c r="AG232" s="21" t="s">
        <v>162</v>
      </c>
      <c r="AH232" s="21" t="s">
        <v>162</v>
      </c>
      <c r="AI232" s="21" t="s">
        <v>162</v>
      </c>
      <c r="AJ232" s="21" t="s">
        <v>162</v>
      </c>
      <c r="AK232" s="21" t="s">
        <v>162</v>
      </c>
      <c r="AL232" s="21" t="s">
        <v>162</v>
      </c>
      <c r="AM232" s="21" t="s">
        <v>162</v>
      </c>
      <c r="AN232" s="21" t="s">
        <v>162</v>
      </c>
      <c r="AO232" s="21" t="s">
        <v>162</v>
      </c>
      <c r="AP232" s="21" t="s">
        <v>162</v>
      </c>
      <c r="AQ232" s="10" t="s">
        <v>1321</v>
      </c>
      <c r="AR232" s="10" t="s">
        <v>1329</v>
      </c>
      <c r="AS232" s="10" t="s">
        <v>162</v>
      </c>
      <c r="AT232" s="10" t="s">
        <v>1330</v>
      </c>
      <c r="AU232" s="10" t="s">
        <v>1331</v>
      </c>
      <c r="AV232" s="10" t="s">
        <v>162</v>
      </c>
      <c r="AW232" s="143"/>
    </row>
    <row r="233" spans="1:49">
      <c r="A233" s="10" t="s">
        <v>1332</v>
      </c>
      <c r="B233" s="10" t="s">
        <v>162</v>
      </c>
      <c r="C233" s="10" t="s">
        <v>163</v>
      </c>
      <c r="D233" s="74">
        <v>45476</v>
      </c>
      <c r="E233" s="10" t="s">
        <v>897</v>
      </c>
      <c r="F233" s="75" t="str">
        <f>VLOOKUP($E233,'Item Classification'!B:C,2,0)</f>
        <v>Main Battle Tank (MBT)</v>
      </c>
      <c r="G233" s="10" t="str">
        <f>VLOOKUP($E233,'Item Classification'!B:D,3,0)</f>
        <v>Tank</v>
      </c>
      <c r="H233" s="76">
        <f>VLOOKUP($E233,'Item Classification'!B:E,4,0)</f>
        <v>1</v>
      </c>
      <c r="I233" s="81">
        <v>105</v>
      </c>
      <c r="J233" s="182">
        <f>M233/I233</f>
        <v>27619047.619047619</v>
      </c>
      <c r="K233" s="81">
        <v>2027</v>
      </c>
      <c r="L233" s="81">
        <v>2030</v>
      </c>
      <c r="M233" s="183">
        <v>2900000000</v>
      </c>
      <c r="N233" s="10" t="s">
        <v>665</v>
      </c>
      <c r="O233" s="10" t="s">
        <v>165</v>
      </c>
      <c r="P233" s="10" t="s">
        <v>163</v>
      </c>
      <c r="Q233" s="77">
        <v>55</v>
      </c>
      <c r="R233" s="77">
        <v>1</v>
      </c>
      <c r="S233" s="77">
        <v>0</v>
      </c>
      <c r="T233" s="77">
        <v>0</v>
      </c>
      <c r="U233" s="77">
        <v>1</v>
      </c>
      <c r="V233" s="77">
        <v>0</v>
      </c>
      <c r="W233" s="77">
        <v>0</v>
      </c>
      <c r="X233" s="77">
        <v>0</v>
      </c>
      <c r="Y233" s="10" t="s">
        <v>485</v>
      </c>
      <c r="Z233" s="21" t="s">
        <v>163</v>
      </c>
      <c r="AA233" s="21" t="s">
        <v>162</v>
      </c>
      <c r="AB233" s="21" t="s">
        <v>162</v>
      </c>
      <c r="AC233" s="21" t="s">
        <v>162</v>
      </c>
      <c r="AD233" s="21" t="s">
        <v>162</v>
      </c>
      <c r="AE233" s="21" t="s">
        <v>162</v>
      </c>
      <c r="AF233" s="21" t="s">
        <v>162</v>
      </c>
      <c r="AG233" s="21" t="s">
        <v>162</v>
      </c>
      <c r="AH233" s="21" t="s">
        <v>162</v>
      </c>
      <c r="AI233" s="21" t="s">
        <v>162</v>
      </c>
      <c r="AJ233" s="21" t="s">
        <v>162</v>
      </c>
      <c r="AK233" s="21" t="s">
        <v>162</v>
      </c>
      <c r="AL233" s="21" t="s">
        <v>162</v>
      </c>
      <c r="AM233" s="21" t="s">
        <v>162</v>
      </c>
      <c r="AN233" s="21" t="s">
        <v>162</v>
      </c>
      <c r="AO233" s="21" t="s">
        <v>162</v>
      </c>
      <c r="AP233" s="21" t="s">
        <v>162</v>
      </c>
      <c r="AQ233" s="10" t="s">
        <v>1333</v>
      </c>
      <c r="AR233" s="10" t="s">
        <v>1334</v>
      </c>
      <c r="AS233" s="10" t="s">
        <v>162</v>
      </c>
      <c r="AT233" s="10" t="s">
        <v>1335</v>
      </c>
      <c r="AU233" s="10" t="s">
        <v>1336</v>
      </c>
      <c r="AV233" s="10" t="s">
        <v>162</v>
      </c>
      <c r="AW233" s="10"/>
    </row>
    <row r="234" spans="1:49">
      <c r="A234" s="10" t="s">
        <v>1337</v>
      </c>
      <c r="B234" s="10" t="s">
        <v>162</v>
      </c>
      <c r="C234" s="10" t="s">
        <v>163</v>
      </c>
      <c r="D234" s="74">
        <v>45476</v>
      </c>
      <c r="E234" s="10" t="s">
        <v>1338</v>
      </c>
      <c r="F234" s="75" t="str">
        <f>VLOOKUP($E234,'Item Classification'!B:C,2,0)</f>
        <v>Non-combat military vehicle</v>
      </c>
      <c r="G234" s="10" t="str">
        <f>VLOOKUP($E234,'Item Classification'!B:D,3,0)</f>
        <v>Other</v>
      </c>
      <c r="H234" s="76">
        <f>VLOOKUP($E234,'Item Classification'!B:E,4,0)</f>
        <v>16</v>
      </c>
      <c r="I234" s="81">
        <v>1000</v>
      </c>
      <c r="J234" s="81" t="s">
        <v>162</v>
      </c>
      <c r="K234" s="81">
        <v>2024</v>
      </c>
      <c r="L234" s="81">
        <v>2027</v>
      </c>
      <c r="M234" s="81" t="s">
        <v>162</v>
      </c>
      <c r="N234" s="10" t="s">
        <v>665</v>
      </c>
      <c r="O234" s="10" t="s">
        <v>162</v>
      </c>
      <c r="P234" s="10" t="s">
        <v>163</v>
      </c>
      <c r="Q234" s="77">
        <v>55</v>
      </c>
      <c r="R234" s="77">
        <v>1</v>
      </c>
      <c r="S234" s="77">
        <v>0</v>
      </c>
      <c r="T234" s="77">
        <v>0</v>
      </c>
      <c r="U234" s="77">
        <v>1</v>
      </c>
      <c r="V234" s="77">
        <v>0</v>
      </c>
      <c r="W234" s="77">
        <v>0</v>
      </c>
      <c r="X234" s="77">
        <v>0</v>
      </c>
      <c r="Y234" s="21" t="s">
        <v>1339</v>
      </c>
      <c r="Z234" s="21" t="s">
        <v>163</v>
      </c>
      <c r="AA234" s="21" t="s">
        <v>162</v>
      </c>
      <c r="AB234" s="21" t="s">
        <v>162</v>
      </c>
      <c r="AC234" s="21" t="s">
        <v>162</v>
      </c>
      <c r="AD234" s="21" t="s">
        <v>162</v>
      </c>
      <c r="AE234" s="21" t="s">
        <v>162</v>
      </c>
      <c r="AF234" s="21" t="s">
        <v>162</v>
      </c>
      <c r="AG234" s="21" t="s">
        <v>162</v>
      </c>
      <c r="AH234" s="21" t="s">
        <v>162</v>
      </c>
      <c r="AI234" s="21" t="s">
        <v>162</v>
      </c>
      <c r="AJ234" s="21" t="s">
        <v>162</v>
      </c>
      <c r="AK234" s="21" t="s">
        <v>162</v>
      </c>
      <c r="AL234" s="21" t="s">
        <v>162</v>
      </c>
      <c r="AM234" s="21" t="s">
        <v>162</v>
      </c>
      <c r="AN234" s="21" t="s">
        <v>162</v>
      </c>
      <c r="AO234" s="21" t="s">
        <v>162</v>
      </c>
      <c r="AP234" s="21" t="s">
        <v>162</v>
      </c>
      <c r="AQ234" s="10" t="s">
        <v>1340</v>
      </c>
      <c r="AR234" s="10" t="s">
        <v>1341</v>
      </c>
      <c r="AS234" s="10" t="s">
        <v>1342</v>
      </c>
      <c r="AT234" s="10" t="s">
        <v>1343</v>
      </c>
      <c r="AU234" s="10" t="s">
        <v>162</v>
      </c>
      <c r="AV234" s="10" t="s">
        <v>162</v>
      </c>
      <c r="AW234" s="10"/>
    </row>
    <row r="235" spans="1:49">
      <c r="A235" s="10" t="s">
        <v>1344</v>
      </c>
      <c r="B235" s="10" t="s">
        <v>1251</v>
      </c>
      <c r="C235" s="10" t="s">
        <v>163</v>
      </c>
      <c r="D235" s="74">
        <v>45476</v>
      </c>
      <c r="E235" s="10" t="s">
        <v>1252</v>
      </c>
      <c r="F235" s="75" t="str">
        <f>VLOOKUP($E235,'Item Classification'!B:C,2,0)</f>
        <v>155mm howitzer ammunition</v>
      </c>
      <c r="G235" s="10" t="str">
        <f>VLOOKUP($E235,'Item Classification'!B:D,3,0)</f>
        <v>Ammunition</v>
      </c>
      <c r="H235" s="76">
        <f>VLOOKUP($E235,'Item Classification'!B:E,4,0)</f>
        <v>4</v>
      </c>
      <c r="I235" s="81" t="s">
        <v>162</v>
      </c>
      <c r="J235" s="81" t="s">
        <v>162</v>
      </c>
      <c r="K235" s="81">
        <v>2027</v>
      </c>
      <c r="L235" s="81">
        <v>2031</v>
      </c>
      <c r="M235" s="183">
        <v>1300000000</v>
      </c>
      <c r="N235" s="10" t="s">
        <v>665</v>
      </c>
      <c r="O235" s="10" t="s">
        <v>165</v>
      </c>
      <c r="P235" s="10" t="s">
        <v>163</v>
      </c>
      <c r="Q235" s="77">
        <v>55</v>
      </c>
      <c r="R235" s="77">
        <v>1</v>
      </c>
      <c r="S235" s="77">
        <v>0</v>
      </c>
      <c r="T235" s="77">
        <v>0</v>
      </c>
      <c r="U235" s="77">
        <v>1</v>
      </c>
      <c r="V235" s="77">
        <v>0</v>
      </c>
      <c r="W235" s="77">
        <v>0</v>
      </c>
      <c r="X235" s="77">
        <v>0</v>
      </c>
      <c r="Y235" s="21" t="s">
        <v>268</v>
      </c>
      <c r="Z235" s="21" t="s">
        <v>163</v>
      </c>
      <c r="AA235" s="21" t="s">
        <v>162</v>
      </c>
      <c r="AB235" s="21" t="s">
        <v>162</v>
      </c>
      <c r="AC235" s="21" t="s">
        <v>162</v>
      </c>
      <c r="AD235" s="21" t="s">
        <v>162</v>
      </c>
      <c r="AE235" s="21" t="s">
        <v>162</v>
      </c>
      <c r="AF235" s="21" t="s">
        <v>162</v>
      </c>
      <c r="AG235" s="21" t="s">
        <v>162</v>
      </c>
      <c r="AH235" s="21" t="s">
        <v>162</v>
      </c>
      <c r="AI235" s="21" t="s">
        <v>162</v>
      </c>
      <c r="AJ235" s="21" t="s">
        <v>162</v>
      </c>
      <c r="AK235" s="21" t="s">
        <v>162</v>
      </c>
      <c r="AL235" s="21" t="s">
        <v>162</v>
      </c>
      <c r="AM235" s="21" t="s">
        <v>162</v>
      </c>
      <c r="AN235" s="21" t="s">
        <v>162</v>
      </c>
      <c r="AO235" s="21" t="s">
        <v>162</v>
      </c>
      <c r="AP235" s="21" t="s">
        <v>162</v>
      </c>
      <c r="AQ235" s="10" t="s">
        <v>1340</v>
      </c>
      <c r="AR235" s="10" t="s">
        <v>162</v>
      </c>
      <c r="AS235" s="10" t="s">
        <v>162</v>
      </c>
      <c r="AT235" s="10" t="s">
        <v>1345</v>
      </c>
      <c r="AU235" s="10" t="s">
        <v>162</v>
      </c>
      <c r="AV235" s="10" t="s">
        <v>162</v>
      </c>
      <c r="AW235" s="10"/>
    </row>
    <row r="236" spans="1:49">
      <c r="A236" s="10" t="s">
        <v>1346</v>
      </c>
      <c r="B236" s="10" t="s">
        <v>162</v>
      </c>
      <c r="C236" s="10" t="s">
        <v>163</v>
      </c>
      <c r="D236" s="74">
        <v>45476</v>
      </c>
      <c r="E236" s="82" t="s">
        <v>1274</v>
      </c>
      <c r="F236" s="75" t="str">
        <f>VLOOKUP($E236,'Item Classification'!B:C,2,0)</f>
        <v>Small Arms and Light Weapons (SALW) ammunition</v>
      </c>
      <c r="G236" s="10" t="str">
        <f>VLOOKUP($E236,'Item Classification'!B:D,3,0)</f>
        <v>Infantry</v>
      </c>
      <c r="H236" s="76">
        <f>VLOOKUP($E236,'Item Classification'!B:E,4,0)</f>
        <v>8</v>
      </c>
      <c r="I236" s="81" t="s">
        <v>162</v>
      </c>
      <c r="J236" s="81" t="s">
        <v>162</v>
      </c>
      <c r="K236" s="81" t="s">
        <v>162</v>
      </c>
      <c r="L236" s="81" t="s">
        <v>162</v>
      </c>
      <c r="M236" s="183">
        <v>452000000</v>
      </c>
      <c r="N236" s="10" t="s">
        <v>784</v>
      </c>
      <c r="O236" s="10" t="s">
        <v>665</v>
      </c>
      <c r="P236" s="10" t="s">
        <v>163</v>
      </c>
      <c r="Q236" s="77">
        <v>55</v>
      </c>
      <c r="R236" s="77">
        <v>1</v>
      </c>
      <c r="S236" s="77">
        <v>0</v>
      </c>
      <c r="T236" s="77">
        <v>0</v>
      </c>
      <c r="U236" s="77" t="s">
        <v>162</v>
      </c>
      <c r="V236" s="77" t="s">
        <v>162</v>
      </c>
      <c r="W236" s="77" t="s">
        <v>162</v>
      </c>
      <c r="X236" s="77" t="s">
        <v>162</v>
      </c>
      <c r="Y236" s="10" t="s">
        <v>162</v>
      </c>
      <c r="Z236" s="10" t="s">
        <v>162</v>
      </c>
      <c r="AA236" s="10" t="s">
        <v>162</v>
      </c>
      <c r="AB236" s="10" t="s">
        <v>162</v>
      </c>
      <c r="AC236" s="10" t="s">
        <v>162</v>
      </c>
      <c r="AD236" s="10" t="s">
        <v>162</v>
      </c>
      <c r="AE236" s="10" t="s">
        <v>162</v>
      </c>
      <c r="AF236" s="10" t="s">
        <v>162</v>
      </c>
      <c r="AG236" s="10" t="s">
        <v>162</v>
      </c>
      <c r="AH236" s="10" t="s">
        <v>162</v>
      </c>
      <c r="AI236" s="10" t="s">
        <v>162</v>
      </c>
      <c r="AJ236" s="10" t="s">
        <v>162</v>
      </c>
      <c r="AK236" s="10" t="s">
        <v>162</v>
      </c>
      <c r="AL236" s="10" t="s">
        <v>162</v>
      </c>
      <c r="AM236" s="10" t="s">
        <v>162</v>
      </c>
      <c r="AN236" s="10" t="s">
        <v>162</v>
      </c>
      <c r="AO236" s="10" t="s">
        <v>162</v>
      </c>
      <c r="AP236" s="10" t="s">
        <v>162</v>
      </c>
      <c r="AQ236" s="10" t="s">
        <v>1340</v>
      </c>
      <c r="AR236" s="10" t="s">
        <v>162</v>
      </c>
      <c r="AS236" s="10" t="s">
        <v>162</v>
      </c>
      <c r="AT236" s="10" t="s">
        <v>1347</v>
      </c>
      <c r="AU236" s="10" t="s">
        <v>162</v>
      </c>
      <c r="AV236" s="10" t="s">
        <v>162</v>
      </c>
      <c r="AW236" s="10"/>
    </row>
    <row r="237" spans="1:49">
      <c r="A237" s="10" t="s">
        <v>1348</v>
      </c>
      <c r="B237" s="10" t="s">
        <v>162</v>
      </c>
      <c r="C237" s="10" t="s">
        <v>163</v>
      </c>
      <c r="D237" s="74">
        <v>45476</v>
      </c>
      <c r="E237" s="79" t="s">
        <v>710</v>
      </c>
      <c r="F237" s="75" t="str">
        <f>VLOOKUP($E237,'Item Classification'!B:C,2,0)</f>
        <v>Communication equipment</v>
      </c>
      <c r="G237" s="10" t="str">
        <f>VLOOKUP($E237,'Item Classification'!B:D,3,0)</f>
        <v>Modernisation</v>
      </c>
      <c r="H237" s="76">
        <f>VLOOKUP($E237,'Item Classification'!B:E,4,0)</f>
        <v>13</v>
      </c>
      <c r="I237" s="81">
        <v>30000</v>
      </c>
      <c r="J237" s="182">
        <f>M237/I237</f>
        <v>2233.3333333333335</v>
      </c>
      <c r="K237" s="81">
        <v>2025</v>
      </c>
      <c r="L237" s="81">
        <v>2025</v>
      </c>
      <c r="M237" s="183">
        <v>67000000</v>
      </c>
      <c r="N237" s="10" t="s">
        <v>665</v>
      </c>
      <c r="O237" s="10" t="s">
        <v>162</v>
      </c>
      <c r="P237" s="10" t="s">
        <v>163</v>
      </c>
      <c r="Q237" s="77">
        <v>55</v>
      </c>
      <c r="R237" s="77">
        <v>1</v>
      </c>
      <c r="S237" s="77">
        <v>0</v>
      </c>
      <c r="T237" s="77">
        <v>0</v>
      </c>
      <c r="U237" s="77">
        <v>1</v>
      </c>
      <c r="V237" s="77">
        <v>0</v>
      </c>
      <c r="W237" s="77">
        <v>0</v>
      </c>
      <c r="X237" s="77">
        <v>0</v>
      </c>
      <c r="Y237" s="21" t="s">
        <v>268</v>
      </c>
      <c r="Z237" s="21" t="s">
        <v>163</v>
      </c>
      <c r="AA237" s="21" t="s">
        <v>162</v>
      </c>
      <c r="AB237" s="21" t="s">
        <v>162</v>
      </c>
      <c r="AC237" s="21" t="s">
        <v>162</v>
      </c>
      <c r="AD237" s="21" t="s">
        <v>162</v>
      </c>
      <c r="AE237" s="21" t="s">
        <v>162</v>
      </c>
      <c r="AF237" s="21" t="s">
        <v>162</v>
      </c>
      <c r="AG237" s="21" t="s">
        <v>162</v>
      </c>
      <c r="AH237" s="21" t="s">
        <v>162</v>
      </c>
      <c r="AI237" s="21" t="s">
        <v>162</v>
      </c>
      <c r="AJ237" s="21" t="s">
        <v>162</v>
      </c>
      <c r="AK237" s="21" t="s">
        <v>162</v>
      </c>
      <c r="AL237" s="21" t="s">
        <v>162</v>
      </c>
      <c r="AM237" s="21" t="s">
        <v>162</v>
      </c>
      <c r="AN237" s="21" t="s">
        <v>162</v>
      </c>
      <c r="AO237" s="21" t="s">
        <v>162</v>
      </c>
      <c r="AP237" s="21" t="s">
        <v>162</v>
      </c>
      <c r="AQ237" s="10" t="s">
        <v>1340</v>
      </c>
      <c r="AR237" s="10" t="s">
        <v>1161</v>
      </c>
      <c r="AS237" s="10" t="s">
        <v>1162</v>
      </c>
      <c r="AT237" s="10" t="s">
        <v>1349</v>
      </c>
      <c r="AU237" s="10" t="s">
        <v>1164</v>
      </c>
      <c r="AV237" s="10" t="s">
        <v>162</v>
      </c>
      <c r="AW237" s="10"/>
    </row>
    <row r="238" spans="1:49">
      <c r="A238" s="10" t="s">
        <v>1350</v>
      </c>
      <c r="B238" s="10" t="s">
        <v>162</v>
      </c>
      <c r="C238" s="10" t="s">
        <v>163</v>
      </c>
      <c r="D238" s="74">
        <v>45476</v>
      </c>
      <c r="E238" s="79" t="s">
        <v>1154</v>
      </c>
      <c r="F238" s="75" t="str">
        <f>VLOOKUP($E238,'Item Classification'!B:C,2,0)</f>
        <v>Anti-aircraft surface-to-air missile (SAM) system (long-range)</v>
      </c>
      <c r="G238" s="10" t="str">
        <f>VLOOKUP($E238,'Item Classification'!B:D,3,0)</f>
        <v>Air defence system</v>
      </c>
      <c r="H238" s="76">
        <f>VLOOKUP($E238,'Item Classification'!B:E,4,0)</f>
        <v>5</v>
      </c>
      <c r="I238" s="81">
        <v>3</v>
      </c>
      <c r="J238" s="182">
        <f>M238/I238</f>
        <v>350000000</v>
      </c>
      <c r="K238" s="81" t="s">
        <v>162</v>
      </c>
      <c r="L238" s="81">
        <v>2030</v>
      </c>
      <c r="M238" s="183">
        <v>1050000000</v>
      </c>
      <c r="N238" s="10" t="s">
        <v>165</v>
      </c>
      <c r="O238" s="10" t="s">
        <v>162</v>
      </c>
      <c r="P238" s="10" t="s">
        <v>163</v>
      </c>
      <c r="Q238" s="77">
        <v>55</v>
      </c>
      <c r="R238" s="77">
        <v>0</v>
      </c>
      <c r="S238" s="77">
        <v>0</v>
      </c>
      <c r="T238" s="77">
        <v>0</v>
      </c>
      <c r="U238" s="77">
        <v>0</v>
      </c>
      <c r="V238" s="77">
        <v>0</v>
      </c>
      <c r="W238" s="77">
        <v>0</v>
      </c>
      <c r="X238" s="77">
        <v>0</v>
      </c>
      <c r="Y238" s="21" t="s">
        <v>702</v>
      </c>
      <c r="Z238" s="21" t="s">
        <v>218</v>
      </c>
      <c r="AA238" s="21" t="s">
        <v>162</v>
      </c>
      <c r="AB238" s="21" t="s">
        <v>162</v>
      </c>
      <c r="AC238" s="21" t="s">
        <v>162</v>
      </c>
      <c r="AD238" s="21" t="s">
        <v>162</v>
      </c>
      <c r="AE238" s="21" t="s">
        <v>162</v>
      </c>
      <c r="AF238" s="21" t="s">
        <v>162</v>
      </c>
      <c r="AG238" s="21" t="s">
        <v>162</v>
      </c>
      <c r="AH238" s="21" t="s">
        <v>162</v>
      </c>
      <c r="AI238" s="21" t="s">
        <v>162</v>
      </c>
      <c r="AJ238" s="21" t="s">
        <v>162</v>
      </c>
      <c r="AK238" s="21" t="s">
        <v>162</v>
      </c>
      <c r="AL238" s="21" t="s">
        <v>162</v>
      </c>
      <c r="AM238" s="21" t="s">
        <v>162</v>
      </c>
      <c r="AN238" s="21" t="s">
        <v>162</v>
      </c>
      <c r="AO238" s="21" t="s">
        <v>162</v>
      </c>
      <c r="AP238" s="21" t="s">
        <v>162</v>
      </c>
      <c r="AQ238" s="10" t="s">
        <v>1351</v>
      </c>
      <c r="AR238" s="10" t="s">
        <v>1352</v>
      </c>
      <c r="AS238" s="10" t="s">
        <v>162</v>
      </c>
      <c r="AT238" s="10" t="s">
        <v>1353</v>
      </c>
      <c r="AU238" s="10" t="s">
        <v>1354</v>
      </c>
      <c r="AV238" s="10" t="s">
        <v>1355</v>
      </c>
      <c r="AW238" s="10" t="s">
        <v>162</v>
      </c>
    </row>
    <row r="239" spans="1:49">
      <c r="A239" s="10" t="s">
        <v>1356</v>
      </c>
      <c r="B239" s="10" t="s">
        <v>162</v>
      </c>
      <c r="C239" s="10" t="s">
        <v>163</v>
      </c>
      <c r="D239" s="74">
        <v>45476</v>
      </c>
      <c r="E239" s="79" t="s">
        <v>1154</v>
      </c>
      <c r="F239" s="75" t="str">
        <f>VLOOKUP($E239,'Item Classification'!B:C,2,0)</f>
        <v>Anti-aircraft surface-to-air missile (SAM) system (long-range)</v>
      </c>
      <c r="G239" s="10" t="str">
        <f>VLOOKUP($E239,'Item Classification'!B:D,3,0)</f>
        <v>Air defence system</v>
      </c>
      <c r="H239" s="76">
        <f>VLOOKUP($E239,'Item Classification'!B:E,4,0)</f>
        <v>5</v>
      </c>
      <c r="I239" s="81">
        <v>1</v>
      </c>
      <c r="J239" s="182">
        <f>M239/I239</f>
        <v>350000000</v>
      </c>
      <c r="K239" s="81" t="s">
        <v>162</v>
      </c>
      <c r="L239" s="81">
        <v>2030</v>
      </c>
      <c r="M239" s="183">
        <v>350000000</v>
      </c>
      <c r="N239" s="10" t="s">
        <v>784</v>
      </c>
      <c r="O239" s="10" t="s">
        <v>665</v>
      </c>
      <c r="P239" s="10" t="s">
        <v>163</v>
      </c>
      <c r="Q239" s="77">
        <v>55</v>
      </c>
      <c r="R239" s="77">
        <v>0</v>
      </c>
      <c r="S239" s="77">
        <v>0</v>
      </c>
      <c r="T239" s="77">
        <v>0</v>
      </c>
      <c r="U239" s="77">
        <v>0</v>
      </c>
      <c r="V239" s="77">
        <v>0</v>
      </c>
      <c r="W239" s="77">
        <v>0</v>
      </c>
      <c r="X239" s="77">
        <v>0</v>
      </c>
      <c r="Y239" s="21" t="s">
        <v>702</v>
      </c>
      <c r="Z239" s="21" t="s">
        <v>218</v>
      </c>
      <c r="AA239" s="21" t="s">
        <v>162</v>
      </c>
      <c r="AB239" s="21" t="s">
        <v>162</v>
      </c>
      <c r="AC239" s="21" t="s">
        <v>162</v>
      </c>
      <c r="AD239" s="21" t="s">
        <v>162</v>
      </c>
      <c r="AE239" s="21" t="s">
        <v>162</v>
      </c>
      <c r="AF239" s="21" t="s">
        <v>162</v>
      </c>
      <c r="AG239" s="21" t="s">
        <v>162</v>
      </c>
      <c r="AH239" s="21" t="s">
        <v>162</v>
      </c>
      <c r="AI239" s="21" t="s">
        <v>162</v>
      </c>
      <c r="AJ239" s="21" t="s">
        <v>162</v>
      </c>
      <c r="AK239" s="21" t="s">
        <v>162</v>
      </c>
      <c r="AL239" s="21" t="s">
        <v>162</v>
      </c>
      <c r="AM239" s="21" t="s">
        <v>162</v>
      </c>
      <c r="AN239" s="21" t="s">
        <v>162</v>
      </c>
      <c r="AO239" s="21" t="s">
        <v>162</v>
      </c>
      <c r="AP239" s="21" t="s">
        <v>162</v>
      </c>
      <c r="AQ239" s="10" t="s">
        <v>1351</v>
      </c>
      <c r="AR239" s="10" t="s">
        <v>1352</v>
      </c>
      <c r="AS239" s="10" t="s">
        <v>162</v>
      </c>
      <c r="AT239" s="10" t="s">
        <v>1353</v>
      </c>
      <c r="AU239" s="10" t="s">
        <v>1354</v>
      </c>
      <c r="AV239" s="10" t="s">
        <v>1355</v>
      </c>
      <c r="AW239" s="10" t="s">
        <v>162</v>
      </c>
    </row>
    <row r="240" spans="1:49">
      <c r="A240" s="10" t="s">
        <v>1357</v>
      </c>
      <c r="B240" s="10" t="s">
        <v>162</v>
      </c>
      <c r="C240" s="10" t="s">
        <v>163</v>
      </c>
      <c r="D240" s="74">
        <v>45476</v>
      </c>
      <c r="E240" s="79" t="s">
        <v>1113</v>
      </c>
      <c r="F240" s="75" t="str">
        <f>VLOOKUP($E240,'Item Classification'!B:C,2,0)</f>
        <v>Surface-to-air missile (SAM)</v>
      </c>
      <c r="G240" s="10" t="str">
        <f>VLOOKUP($E240,'Item Classification'!B:D,3,0)</f>
        <v>Missile (Land)</v>
      </c>
      <c r="H240" s="76">
        <f>VLOOKUP($E240,'Item Classification'!B:E,4,0)</f>
        <v>6</v>
      </c>
      <c r="I240" s="81">
        <v>100</v>
      </c>
      <c r="J240" s="182">
        <f>M240/I240</f>
        <v>2000000</v>
      </c>
      <c r="K240" s="81">
        <v>2024</v>
      </c>
      <c r="L240" s="81">
        <v>2026</v>
      </c>
      <c r="M240" s="183">
        <v>200000000</v>
      </c>
      <c r="N240" s="10" t="s">
        <v>784</v>
      </c>
      <c r="O240" s="10" t="s">
        <v>665</v>
      </c>
      <c r="P240" s="10" t="s">
        <v>163</v>
      </c>
      <c r="Q240" s="77">
        <v>55</v>
      </c>
      <c r="R240" s="77">
        <v>0</v>
      </c>
      <c r="S240" s="77">
        <v>0</v>
      </c>
      <c r="T240" s="77">
        <v>0</v>
      </c>
      <c r="U240" s="77">
        <v>0</v>
      </c>
      <c r="V240" s="77">
        <v>0</v>
      </c>
      <c r="W240" s="77">
        <v>0</v>
      </c>
      <c r="X240" s="77">
        <v>0</v>
      </c>
      <c r="Y240" s="21" t="s">
        <v>702</v>
      </c>
      <c r="Z240" s="21" t="s">
        <v>218</v>
      </c>
      <c r="AA240" s="21" t="s">
        <v>218</v>
      </c>
      <c r="AB240" s="21" t="s">
        <v>162</v>
      </c>
      <c r="AC240" s="21" t="s">
        <v>162</v>
      </c>
      <c r="AD240" s="21" t="s">
        <v>162</v>
      </c>
      <c r="AE240" s="21" t="s">
        <v>162</v>
      </c>
      <c r="AF240" s="21" t="s">
        <v>162</v>
      </c>
      <c r="AG240" s="21" t="s">
        <v>162</v>
      </c>
      <c r="AH240" s="21" t="s">
        <v>162</v>
      </c>
      <c r="AI240" s="21" t="s">
        <v>162</v>
      </c>
      <c r="AJ240" s="21" t="s">
        <v>162</v>
      </c>
      <c r="AK240" s="21" t="s">
        <v>162</v>
      </c>
      <c r="AL240" s="21" t="s">
        <v>162</v>
      </c>
      <c r="AM240" s="21" t="s">
        <v>162</v>
      </c>
      <c r="AN240" s="21" t="s">
        <v>162</v>
      </c>
      <c r="AO240" s="21" t="s">
        <v>162</v>
      </c>
      <c r="AP240" s="21" t="s">
        <v>162</v>
      </c>
      <c r="AQ240" s="10" t="s">
        <v>1351</v>
      </c>
      <c r="AR240" s="10" t="s">
        <v>1358</v>
      </c>
      <c r="AS240" s="10" t="s">
        <v>1359</v>
      </c>
      <c r="AT240" s="10" t="s">
        <v>1360</v>
      </c>
      <c r="AU240" s="10" t="s">
        <v>1361</v>
      </c>
      <c r="AV240" s="10" t="s">
        <v>162</v>
      </c>
      <c r="AW240" s="10"/>
    </row>
    <row r="241" spans="9:9">
      <c r="I241" s="173"/>
    </row>
    <row r="242" spans="9:9">
      <c r="I242" s="173"/>
    </row>
    <row r="243" spans="9:9">
      <c r="I243" s="173"/>
    </row>
    <row r="244" spans="9:9">
      <c r="I244" s="173"/>
    </row>
    <row r="245" spans="9:9">
      <c r="I245" s="173"/>
    </row>
    <row r="246" spans="9:9">
      <c r="I246" s="173"/>
    </row>
    <row r="247" spans="9:9">
      <c r="I247" s="173"/>
    </row>
    <row r="248" spans="9:9">
      <c r="I248" s="173"/>
    </row>
    <row r="249" spans="9:9">
      <c r="I249" s="173"/>
    </row>
    <row r="250" spans="9:9">
      <c r="I250" s="173"/>
    </row>
    <row r="251" spans="9:9">
      <c r="I251" s="173"/>
    </row>
    <row r="252" spans="9:9">
      <c r="I252" s="173"/>
    </row>
    <row r="253" spans="9:9">
      <c r="I253" s="173"/>
    </row>
    <row r="254" spans="9:9">
      <c r="I254" s="173"/>
    </row>
  </sheetData>
  <sortState xmlns:xlrd2="http://schemas.microsoft.com/office/spreadsheetml/2017/richdata2" ref="A251:AY326">
    <sortCondition ref="D251:D326"/>
  </sortState>
  <phoneticPr fontId="12" type="noConversion"/>
  <hyperlinks>
    <hyperlink ref="AQ105" r:id="rId1" xr:uid="{ABC7EE33-EF4C-4F1C-84D0-8F54BEA08EF0}"/>
    <hyperlink ref="AQ110" r:id="rId2" display="https://www.bmvg.de/de/aktuelles/bundeswehr-kann-35-f-35a-fuer-rund-8-3-milliarden-euro-kaufen-5540934" xr:uid="{96FEBDAB-C964-4F83-BD9E-39A58CA3DC26}"/>
    <hyperlink ref="AQ197" r:id="rId3" xr:uid="{2956102B-E8E1-487C-B8EB-3500BC9D9993}"/>
  </hyperlinks>
  <pageMargins left="0.7" right="0.7" top="0.75" bottom="0.75" header="0.3" footer="0.3"/>
  <pageSetup orientation="portrait" r:id="rId4"/>
  <ignoredErrors>
    <ignoredError sqref="H201" numberStoredAsText="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59D83-B41D-420F-A363-73AA6CC1A8DC}">
  <sheetPr>
    <tabColor theme="8" tint="0.59999389629810485"/>
  </sheetPr>
  <dimension ref="B2:G9"/>
  <sheetViews>
    <sheetView zoomScaleNormal="100" workbookViewId="0">
      <selection activeCell="B7" sqref="B7"/>
    </sheetView>
  </sheetViews>
  <sheetFormatPr defaultColWidth="8.69921875" defaultRowHeight="15.6"/>
  <cols>
    <col min="1" max="2" width="8.69921875" style="1"/>
    <col min="3" max="3" width="33.5" style="1" bestFit="1" customWidth="1"/>
    <col min="4" max="4" width="11.69921875" style="1" bestFit="1" customWidth="1"/>
    <col min="5" max="5" width="15.19921875" style="1" bestFit="1" customWidth="1"/>
    <col min="6" max="16384" width="8.69921875" style="1"/>
  </cols>
  <sheetData>
    <row r="2" spans="2:7" ht="25.2">
      <c r="B2" s="197" t="s">
        <v>1648</v>
      </c>
    </row>
    <row r="4" spans="2:7" ht="130.19999999999999" customHeight="1">
      <c r="B4" s="206" t="s">
        <v>1649</v>
      </c>
      <c r="C4" s="206"/>
      <c r="D4" s="206"/>
      <c r="E4" s="206"/>
      <c r="F4" s="206"/>
      <c r="G4" s="206"/>
    </row>
    <row r="6" spans="2:7" ht="21" customHeight="1">
      <c r="B6" s="161" t="s">
        <v>1393</v>
      </c>
      <c r="C6" s="161" t="s">
        <v>1395</v>
      </c>
      <c r="D6" s="166" t="s">
        <v>1650</v>
      </c>
      <c r="E6" s="166" t="s">
        <v>1651</v>
      </c>
    </row>
    <row r="7" spans="2:7">
      <c r="B7" s="199" t="s">
        <v>952</v>
      </c>
      <c r="C7" s="199" t="str">
        <f>VLOOKUP($B7,'MAIN DATA, Orders'!$A:$J,5,0)</f>
        <v>155mm artillery round DiNa for Ukraine</v>
      </c>
      <c r="D7" s="17">
        <f>VLOOKUP($B7,'MAIN DATA, Orders'!$A:$J,9,0)</f>
        <v>4700</v>
      </c>
      <c r="E7" s="17">
        <f>VLOOKUP($B7,'MAIN DATA, Orders'!$A:$J,10,0)</f>
        <v>5808.510638297872</v>
      </c>
    </row>
    <row r="8" spans="2:7">
      <c r="B8" s="199" t="s">
        <v>1075</v>
      </c>
      <c r="C8" s="199" t="str">
        <f>VLOOKUP($B8,'MAIN DATA, Orders'!$A:$J,5,0)</f>
        <v>155mm artillery round for Ukraine</v>
      </c>
      <c r="D8" s="17">
        <f>VLOOKUP($B8,'MAIN DATA, Orders'!$A:$J,9,0)</f>
        <v>68000</v>
      </c>
      <c r="E8" s="17">
        <f>VLOOKUP($B8,'MAIN DATA, Orders'!$A:$J,10,0)</f>
        <v>4088.2352941176468</v>
      </c>
    </row>
    <row r="9" spans="2:7">
      <c r="B9" s="151" t="s">
        <v>1250</v>
      </c>
      <c r="C9" s="151" t="str">
        <f>VLOOKUP($B9,'MAIN DATA, Orders'!$A:$J,5,0)</f>
        <v>155mm artillery round</v>
      </c>
      <c r="D9" s="60">
        <f>VLOOKUP($B9,'MAIN DATA, Orders'!$A:$J,9,0)</f>
        <v>300000</v>
      </c>
      <c r="E9" s="60">
        <f>VLOOKUP($B9,'MAIN DATA, Orders'!$A:$J,10,0)</f>
        <v>2933.3333333333335</v>
      </c>
    </row>
  </sheetData>
  <mergeCells count="1">
    <mergeCell ref="B4:G4"/>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221271-BAD7-4989-8265-749CBD093B7F}">
  <sheetPr>
    <tabColor theme="9" tint="0.59999389629810485"/>
  </sheetPr>
  <dimension ref="A2:G63"/>
  <sheetViews>
    <sheetView zoomScaleNormal="100" workbookViewId="0"/>
  </sheetViews>
  <sheetFormatPr defaultColWidth="8.69921875" defaultRowHeight="15.6"/>
  <cols>
    <col min="1" max="1" width="8.69921875" style="1"/>
    <col min="2" max="2" width="13.5" style="1" customWidth="1"/>
    <col min="3" max="3" width="25.19921875" style="1" bestFit="1" customWidth="1"/>
    <col min="4" max="4" width="26.5" style="1" bestFit="1" customWidth="1"/>
    <col min="5" max="16384" width="8.69921875" style="1"/>
  </cols>
  <sheetData>
    <row r="2" spans="1:7" ht="25.2">
      <c r="B2" s="67" t="s">
        <v>1652</v>
      </c>
    </row>
    <row r="3" spans="1:7" ht="15.6" customHeight="1">
      <c r="B3" s="2"/>
    </row>
    <row r="4" spans="1:7" ht="130.19999999999999" customHeight="1">
      <c r="B4" s="206" t="s">
        <v>1653</v>
      </c>
      <c r="C4" s="213"/>
      <c r="D4" s="213"/>
      <c r="E4" s="213"/>
      <c r="F4" s="213"/>
      <c r="G4" s="213"/>
    </row>
    <row r="5" spans="1:7" ht="15.6" customHeight="1"/>
    <row r="6" spans="1:7" ht="21" customHeight="1">
      <c r="A6" s="199"/>
      <c r="B6" s="161" t="s">
        <v>1404</v>
      </c>
      <c r="C6" s="162" t="s">
        <v>1654</v>
      </c>
      <c r="D6" s="162" t="s">
        <v>1655</v>
      </c>
    </row>
    <row r="7" spans="1:7">
      <c r="A7" s="72">
        <v>1</v>
      </c>
      <c r="B7" s="68">
        <v>43831</v>
      </c>
      <c r="C7" s="61">
        <f>(SUMIFS('MAIN DATA, Orders'!$M:$M,'MAIN DATA, Orders'!$Q:$Q,$A7,'MAIN DATA, Orders'!$C:$C,"Germany",'MAIN DATA, Orders'!$S:$S,"0")/1000000000)</f>
        <v>0</v>
      </c>
      <c r="D7" s="61">
        <f>(SUMIFS('MAIN DATA, Orders'!$M:$M,'MAIN DATA, Orders'!$Q:$Q,$A7,'MAIN DATA, Orders'!$C:$C,"Germany",'MAIN DATA, Orders'!$S:$S,"1")/1000000000)</f>
        <v>0</v>
      </c>
    </row>
    <row r="8" spans="1:7">
      <c r="A8" s="72">
        <v>2</v>
      </c>
      <c r="B8" s="68">
        <v>43862</v>
      </c>
      <c r="C8" s="61">
        <f>(SUMIFS('MAIN DATA, Orders'!$M:$M,'MAIN DATA, Orders'!$Q:$Q,$A8,'MAIN DATA, Orders'!$C:$C,"Germany",'MAIN DATA, Orders'!$S:$S,"0")/1000000000)</f>
        <v>0</v>
      </c>
      <c r="D8" s="61">
        <f>(SUMIFS('MAIN DATA, Orders'!$M:$M,'MAIN DATA, Orders'!$Q:$Q,$A8,'MAIN DATA, Orders'!$C:$C,"Germany",'MAIN DATA, Orders'!$S:$S,"1")/1000000000)</f>
        <v>0</v>
      </c>
    </row>
    <row r="9" spans="1:7">
      <c r="A9" s="72">
        <v>3</v>
      </c>
      <c r="B9" s="68">
        <v>43891</v>
      </c>
      <c r="C9" s="61">
        <f>(SUMIFS('MAIN DATA, Orders'!$M:$M,'MAIN DATA, Orders'!$Q:$Q,$A9,'MAIN DATA, Orders'!$C:$C,"Germany",'MAIN DATA, Orders'!$S:$S,"0")/1000000000)</f>
        <v>0</v>
      </c>
      <c r="D9" s="61">
        <f>(SUMIFS('MAIN DATA, Orders'!$M:$M,'MAIN DATA, Orders'!$Q:$Q,$A9,'MAIN DATA, Orders'!$C:$C,"Germany",'MAIN DATA, Orders'!$S:$S,"1")/1000000000)</f>
        <v>0</v>
      </c>
    </row>
    <row r="10" spans="1:7">
      <c r="A10" s="72">
        <v>4</v>
      </c>
      <c r="B10" s="68">
        <v>43922</v>
      </c>
      <c r="C10" s="61">
        <f>(SUMIFS('MAIN DATA, Orders'!$M:$M,'MAIN DATA, Orders'!$Q:$Q,$A10,'MAIN DATA, Orders'!$C:$C,"Germany",'MAIN DATA, Orders'!$S:$S,"0")/1000000000)</f>
        <v>0</v>
      </c>
      <c r="D10" s="61">
        <f>(SUMIFS('MAIN DATA, Orders'!$M:$M,'MAIN DATA, Orders'!$Q:$Q,$A10,'MAIN DATA, Orders'!$C:$C,"Germany",'MAIN DATA, Orders'!$S:$S,"1")/1000000000)</f>
        <v>0</v>
      </c>
    </row>
    <row r="11" spans="1:7">
      <c r="A11" s="72">
        <v>5</v>
      </c>
      <c r="B11" s="68">
        <v>43952</v>
      </c>
      <c r="C11" s="61">
        <f>(SUMIFS('MAIN DATA, Orders'!$M:$M,'MAIN DATA, Orders'!$Q:$Q,$A11,'MAIN DATA, Orders'!$C:$C,"Germany",'MAIN DATA, Orders'!$S:$S,"0")/1000000000)</f>
        <v>0</v>
      </c>
      <c r="D11" s="61">
        <f>(SUMIFS('MAIN DATA, Orders'!$M:$M,'MAIN DATA, Orders'!$Q:$Q,$A11,'MAIN DATA, Orders'!$C:$C,"Germany",'MAIN DATA, Orders'!$S:$S,"1")/1000000000)</f>
        <v>0.03</v>
      </c>
    </row>
    <row r="12" spans="1:7">
      <c r="A12" s="72">
        <v>6</v>
      </c>
      <c r="B12" s="68">
        <v>43983</v>
      </c>
      <c r="C12" s="61">
        <f>(SUMIFS('MAIN DATA, Orders'!$M:$M,'MAIN DATA, Orders'!$Q:$Q,$A12,'MAIN DATA, Orders'!$C:$C,"Germany",'MAIN DATA, Orders'!$S:$S,"0")/1000000000)</f>
        <v>8.4</v>
      </c>
      <c r="D12" s="61">
        <f>(SUMIFS('MAIN DATA, Orders'!$M:$M,'MAIN DATA, Orders'!$Q:$Q,$A12,'MAIN DATA, Orders'!$C:$C,"Germany",'MAIN DATA, Orders'!$S:$S,"1")/1000000000)</f>
        <v>4.5999999999999996</v>
      </c>
    </row>
    <row r="13" spans="1:7">
      <c r="A13" s="72">
        <v>7</v>
      </c>
      <c r="B13" s="68">
        <v>44013</v>
      </c>
      <c r="C13" s="61">
        <f>(SUMIFS('MAIN DATA, Orders'!$M:$M,'MAIN DATA, Orders'!$Q:$Q,$A13,'MAIN DATA, Orders'!$C:$C,"Germany",'MAIN DATA, Orders'!$S:$S,"0")/1000000000)</f>
        <v>0</v>
      </c>
      <c r="D13" s="61">
        <f>(SUMIFS('MAIN DATA, Orders'!$M:$M,'MAIN DATA, Orders'!$Q:$Q,$A13,'MAIN DATA, Orders'!$C:$C,"Germany",'MAIN DATA, Orders'!$S:$S,"1")/1000000000)</f>
        <v>0</v>
      </c>
    </row>
    <row r="14" spans="1:7">
      <c r="A14" s="72">
        <v>8</v>
      </c>
      <c r="B14" s="68">
        <v>44044</v>
      </c>
      <c r="C14" s="61">
        <f>(SUMIFS('MAIN DATA, Orders'!$M:$M,'MAIN DATA, Orders'!$Q:$Q,$A14,'MAIN DATA, Orders'!$C:$C,"Germany",'MAIN DATA, Orders'!$S:$S,"0")/1000000000)</f>
        <v>0.35</v>
      </c>
      <c r="D14" s="61">
        <f>(SUMIFS('MAIN DATA, Orders'!$M:$M,'MAIN DATA, Orders'!$Q:$Q,$A14,'MAIN DATA, Orders'!$C:$C,"Germany",'MAIN DATA, Orders'!$S:$S,"1")/1000000000)</f>
        <v>0</v>
      </c>
    </row>
    <row r="15" spans="1:7">
      <c r="A15" s="72">
        <v>9</v>
      </c>
      <c r="B15" s="68">
        <v>44075</v>
      </c>
      <c r="C15" s="61">
        <f>(SUMIFS('MAIN DATA, Orders'!$M:$M,'MAIN DATA, Orders'!$Q:$Q,$A15,'MAIN DATA, Orders'!$C:$C,"Germany",'MAIN DATA, Orders'!$S:$S,"0")/1000000000)</f>
        <v>0.504</v>
      </c>
      <c r="D15" s="61">
        <f>(SUMIFS('MAIN DATA, Orders'!$M:$M,'MAIN DATA, Orders'!$Q:$Q,$A15,'MAIN DATA, Orders'!$C:$C,"Germany",'MAIN DATA, Orders'!$S:$S,"1")/1000000000)</f>
        <v>1.88</v>
      </c>
    </row>
    <row r="16" spans="1:7">
      <c r="A16" s="72">
        <v>10</v>
      </c>
      <c r="B16" s="68">
        <v>44105</v>
      </c>
      <c r="C16" s="61">
        <f>(SUMIFS('MAIN DATA, Orders'!$M:$M,'MAIN DATA, Orders'!$Q:$Q,$A16,'MAIN DATA, Orders'!$C:$C,"Germany",'MAIN DATA, Orders'!$S:$S,"0")/1000000000)</f>
        <v>0.04</v>
      </c>
      <c r="D16" s="61">
        <f>(SUMIFS('MAIN DATA, Orders'!$M:$M,'MAIN DATA, Orders'!$Q:$Q,$A16,'MAIN DATA, Orders'!$C:$C,"Germany",'MAIN DATA, Orders'!$S:$S,"1")/1000000000)</f>
        <v>0</v>
      </c>
    </row>
    <row r="17" spans="1:4">
      <c r="A17" s="72">
        <v>11</v>
      </c>
      <c r="B17" s="68">
        <v>44136</v>
      </c>
      <c r="C17" s="61">
        <f>(SUMIFS('MAIN DATA, Orders'!$M:$M,'MAIN DATA, Orders'!$Q:$Q,$A17,'MAIN DATA, Orders'!$C:$C,"Germany",'MAIN DATA, Orders'!$S:$S,"0")/1000000000)</f>
        <v>9.0690000000000008</v>
      </c>
      <c r="D17" s="61">
        <f>(SUMIFS('MAIN DATA, Orders'!$M:$M,'MAIN DATA, Orders'!$Q:$Q,$A17,'MAIN DATA, Orders'!$C:$C,"Germany",'MAIN DATA, Orders'!$S:$S,"1")/1000000000)</f>
        <v>0.11700000000000001</v>
      </c>
    </row>
    <row r="18" spans="1:4">
      <c r="A18" s="72">
        <v>12</v>
      </c>
      <c r="B18" s="68">
        <v>44166</v>
      </c>
      <c r="C18" s="61">
        <f>(SUMIFS('MAIN DATA, Orders'!$M:$M,'MAIN DATA, Orders'!$Q:$Q,$A18,'MAIN DATA, Orders'!$C:$C,"Germany",'MAIN DATA, Orders'!$S:$S,"0")/1000000000)</f>
        <v>0.45</v>
      </c>
      <c r="D18" s="61">
        <f>(SUMIFS('MAIN DATA, Orders'!$M:$M,'MAIN DATA, Orders'!$Q:$Q,$A18,'MAIN DATA, Orders'!$C:$C,"Germany",'MAIN DATA, Orders'!$S:$S,"1")/1000000000)</f>
        <v>0</v>
      </c>
    </row>
    <row r="19" spans="1:4">
      <c r="A19" s="72">
        <v>13</v>
      </c>
      <c r="B19" s="68">
        <v>44197</v>
      </c>
      <c r="C19" s="61">
        <f>(SUMIFS('MAIN DATA, Orders'!$M:$M,'MAIN DATA, Orders'!$Q:$Q,$A19,'MAIN DATA, Orders'!$C:$C,"Germany",'MAIN DATA, Orders'!$S:$S,"0")/1000000000)</f>
        <v>0</v>
      </c>
      <c r="D19" s="61">
        <f>(SUMIFS('MAIN DATA, Orders'!$M:$M,'MAIN DATA, Orders'!$Q:$Q,$A19,'MAIN DATA, Orders'!$C:$C,"Germany",'MAIN DATA, Orders'!$S:$S,"1")/1000000000)</f>
        <v>0</v>
      </c>
    </row>
    <row r="20" spans="1:4">
      <c r="A20" s="72">
        <v>14</v>
      </c>
      <c r="B20" s="68">
        <v>44228</v>
      </c>
      <c r="C20" s="61">
        <f>(SUMIFS('MAIN DATA, Orders'!$M:$M,'MAIN DATA, Orders'!$Q:$Q,$A20,'MAIN DATA, Orders'!$C:$C,"Germany",'MAIN DATA, Orders'!$S:$S,"0")/1000000000)</f>
        <v>8.7999999999999995E-2</v>
      </c>
      <c r="D20" s="61">
        <f>(SUMIFS('MAIN DATA, Orders'!$M:$M,'MAIN DATA, Orders'!$Q:$Q,$A20,'MAIN DATA, Orders'!$C:$C,"Germany",'MAIN DATA, Orders'!$S:$S,"1")/1000000000)</f>
        <v>0</v>
      </c>
    </row>
    <row r="21" spans="1:4">
      <c r="A21" s="72">
        <v>15</v>
      </c>
      <c r="B21" s="68">
        <v>44256</v>
      </c>
      <c r="C21" s="61">
        <f>(SUMIFS('MAIN DATA, Orders'!$M:$M,'MAIN DATA, Orders'!$Q:$Q,$A21,'MAIN DATA, Orders'!$C:$C,"Germany",'MAIN DATA, Orders'!$S:$S,"0")/1000000000)</f>
        <v>0</v>
      </c>
      <c r="D21" s="61">
        <f>(SUMIFS('MAIN DATA, Orders'!$M:$M,'MAIN DATA, Orders'!$Q:$Q,$A21,'MAIN DATA, Orders'!$C:$C,"Germany",'MAIN DATA, Orders'!$S:$S,"1")/1000000000)</f>
        <v>0</v>
      </c>
    </row>
    <row r="22" spans="1:4">
      <c r="A22" s="72">
        <v>16</v>
      </c>
      <c r="B22" s="68">
        <v>44287</v>
      </c>
      <c r="C22" s="61">
        <f>(SUMIFS('MAIN DATA, Orders'!$M:$M,'MAIN DATA, Orders'!$Q:$Q,$A22,'MAIN DATA, Orders'!$C:$C,"Germany",'MAIN DATA, Orders'!$S:$S,"0")/1000000000)</f>
        <v>3.7</v>
      </c>
      <c r="D22" s="61">
        <f>(SUMIFS('MAIN DATA, Orders'!$M:$M,'MAIN DATA, Orders'!$Q:$Q,$A22,'MAIN DATA, Orders'!$C:$C,"Germany",'MAIN DATA, Orders'!$S:$S,"1")/1000000000)</f>
        <v>0</v>
      </c>
    </row>
    <row r="23" spans="1:4">
      <c r="A23" s="72">
        <v>17</v>
      </c>
      <c r="B23" s="68">
        <v>44317</v>
      </c>
      <c r="C23" s="61">
        <f>(SUMIFS('MAIN DATA, Orders'!$M:$M,'MAIN DATA, Orders'!$Q:$Q,$A23,'MAIN DATA, Orders'!$C:$C,"Germany",'MAIN DATA, Orders'!$S:$S,"0")/1000000000)</f>
        <v>2.3069999999999999</v>
      </c>
      <c r="D23" s="61">
        <f>(SUMIFS('MAIN DATA, Orders'!$M:$M,'MAIN DATA, Orders'!$Q:$Q,$A23,'MAIN DATA, Orders'!$C:$C,"Germany",'MAIN DATA, Orders'!$S:$S,"1")/1000000000)</f>
        <v>9.5000000000000001E-2</v>
      </c>
    </row>
    <row r="24" spans="1:4">
      <c r="A24" s="72">
        <v>18</v>
      </c>
      <c r="B24" s="68">
        <v>44348</v>
      </c>
      <c r="C24" s="61">
        <f>(SUMIFS('MAIN DATA, Orders'!$M:$M,'MAIN DATA, Orders'!$Q:$Q,$A24,'MAIN DATA, Orders'!$C:$C,"Germany",'MAIN DATA, Orders'!$S:$S,"0")/1000000000)</f>
        <v>10.666878000000001</v>
      </c>
      <c r="D24" s="61">
        <f>(SUMIFS('MAIN DATA, Orders'!$M:$M,'MAIN DATA, Orders'!$Q:$Q,$A24,'MAIN DATA, Orders'!$C:$C,"Germany",'MAIN DATA, Orders'!$S:$S,"1")/1000000000)</f>
        <v>5.48</v>
      </c>
    </row>
    <row r="25" spans="1:4">
      <c r="A25" s="72">
        <v>19</v>
      </c>
      <c r="B25" s="68">
        <v>44378</v>
      </c>
      <c r="C25" s="61">
        <f>(SUMIFS('MAIN DATA, Orders'!$M:$M,'MAIN DATA, Orders'!$Q:$Q,$A25,'MAIN DATA, Orders'!$C:$C,"Germany",'MAIN DATA, Orders'!$S:$S,"0")/1000000000)</f>
        <v>0</v>
      </c>
      <c r="D25" s="61">
        <f>(SUMIFS('MAIN DATA, Orders'!$M:$M,'MAIN DATA, Orders'!$Q:$Q,$A25,'MAIN DATA, Orders'!$C:$C,"Germany",'MAIN DATA, Orders'!$S:$S,"1")/1000000000)</f>
        <v>0</v>
      </c>
    </row>
    <row r="26" spans="1:4">
      <c r="A26" s="72">
        <v>20</v>
      </c>
      <c r="B26" s="68">
        <v>44409</v>
      </c>
      <c r="C26" s="61">
        <f>(SUMIFS('MAIN DATA, Orders'!$M:$M,'MAIN DATA, Orders'!$Q:$Q,$A26,'MAIN DATA, Orders'!$C:$C,"Germany",'MAIN DATA, Orders'!$S:$S,"0")/1000000000)</f>
        <v>0</v>
      </c>
      <c r="D26" s="61">
        <f>(SUMIFS('MAIN DATA, Orders'!$M:$M,'MAIN DATA, Orders'!$Q:$Q,$A26,'MAIN DATA, Orders'!$C:$C,"Germany",'MAIN DATA, Orders'!$S:$S,"1")/1000000000)</f>
        <v>0</v>
      </c>
    </row>
    <row r="27" spans="1:4">
      <c r="A27" s="72">
        <v>21</v>
      </c>
      <c r="B27" s="68">
        <v>44440</v>
      </c>
      <c r="C27" s="61">
        <f>(SUMIFS('MAIN DATA, Orders'!$M:$M,'MAIN DATA, Orders'!$Q:$Q,$A27,'MAIN DATA, Orders'!$C:$C,"Germany",'MAIN DATA, Orders'!$S:$S,"0")/1000000000)</f>
        <v>0</v>
      </c>
      <c r="D27" s="61">
        <f>(SUMIFS('MAIN DATA, Orders'!$M:$M,'MAIN DATA, Orders'!$Q:$Q,$A27,'MAIN DATA, Orders'!$C:$C,"Germany",'MAIN DATA, Orders'!$S:$S,"1")/1000000000)</f>
        <v>0</v>
      </c>
    </row>
    <row r="28" spans="1:4">
      <c r="A28" s="72">
        <v>22</v>
      </c>
      <c r="B28" s="68">
        <v>44470</v>
      </c>
      <c r="C28" s="61">
        <f>(SUMIFS('MAIN DATA, Orders'!$M:$M,'MAIN DATA, Orders'!$Q:$Q,$A28,'MAIN DATA, Orders'!$C:$C,"Germany",'MAIN DATA, Orders'!$S:$S,"0")/1000000000)</f>
        <v>0</v>
      </c>
      <c r="D28" s="61">
        <f>(SUMIFS('MAIN DATA, Orders'!$M:$M,'MAIN DATA, Orders'!$Q:$Q,$A28,'MAIN DATA, Orders'!$C:$C,"Germany",'MAIN DATA, Orders'!$S:$S,"1")/1000000000)</f>
        <v>0</v>
      </c>
    </row>
    <row r="29" spans="1:4">
      <c r="A29" s="72">
        <v>23</v>
      </c>
      <c r="B29" s="68">
        <v>44501</v>
      </c>
      <c r="C29" s="61">
        <f>(SUMIFS('MAIN DATA, Orders'!$M:$M,'MAIN DATA, Orders'!$Q:$Q,$A29,'MAIN DATA, Orders'!$C:$C,"Germany",'MAIN DATA, Orders'!$S:$S,"0")/1000000000)</f>
        <v>0</v>
      </c>
      <c r="D29" s="61">
        <f>(SUMIFS('MAIN DATA, Orders'!$M:$M,'MAIN DATA, Orders'!$Q:$Q,$A29,'MAIN DATA, Orders'!$C:$C,"Germany",'MAIN DATA, Orders'!$S:$S,"1")/1000000000)</f>
        <v>0</v>
      </c>
    </row>
    <row r="30" spans="1:4">
      <c r="A30" s="72">
        <v>24</v>
      </c>
      <c r="B30" s="68">
        <v>44531</v>
      </c>
      <c r="C30" s="61">
        <f>(SUMIFS('MAIN DATA, Orders'!$M:$M,'MAIN DATA, Orders'!$Q:$Q,$A30,'MAIN DATA, Orders'!$C:$C,"Germany",'MAIN DATA, Orders'!$S:$S,"0")/1000000000)</f>
        <v>0</v>
      </c>
      <c r="D30" s="61">
        <f>(SUMIFS('MAIN DATA, Orders'!$M:$M,'MAIN DATA, Orders'!$Q:$Q,$A30,'MAIN DATA, Orders'!$C:$C,"Germany",'MAIN DATA, Orders'!$S:$S,"1")/1000000000)</f>
        <v>0</v>
      </c>
    </row>
    <row r="31" spans="1:4">
      <c r="A31" s="72">
        <v>25</v>
      </c>
      <c r="B31" s="68">
        <v>44562</v>
      </c>
      <c r="C31" s="61">
        <f>(SUMIFS('MAIN DATA, Orders'!$M:$M,'MAIN DATA, Orders'!$Q:$Q,$A31,'MAIN DATA, Orders'!$C:$C,"Germany",'MAIN DATA, Orders'!$S:$S,"0")/1000000000)</f>
        <v>0</v>
      </c>
      <c r="D31" s="61">
        <f>(SUMIFS('MAIN DATA, Orders'!$M:$M,'MAIN DATA, Orders'!$Q:$Q,$A31,'MAIN DATA, Orders'!$C:$C,"Germany",'MAIN DATA, Orders'!$S:$S,"1")/1000000000)</f>
        <v>0</v>
      </c>
    </row>
    <row r="32" spans="1:4">
      <c r="A32" s="72">
        <v>26</v>
      </c>
      <c r="B32" s="68">
        <v>44593</v>
      </c>
      <c r="C32" s="61">
        <f>(SUMIFS('MAIN DATA, Orders'!$M:$M,'MAIN DATA, Orders'!$Q:$Q,$A32,'MAIN DATA, Orders'!$C:$C,"Germany",'MAIN DATA, Orders'!$S:$S,"0")/1000000000)</f>
        <v>0</v>
      </c>
      <c r="D32" s="61">
        <f>(SUMIFS('MAIN DATA, Orders'!$M:$M,'MAIN DATA, Orders'!$Q:$Q,$A32,'MAIN DATA, Orders'!$C:$C,"Germany",'MAIN DATA, Orders'!$S:$S,"1")/1000000000)</f>
        <v>0</v>
      </c>
    </row>
    <row r="33" spans="1:4">
      <c r="A33" s="72">
        <v>27</v>
      </c>
      <c r="B33" s="68">
        <v>44621</v>
      </c>
      <c r="C33" s="61">
        <f>(SUMIFS('MAIN DATA, Orders'!$M:$M,'MAIN DATA, Orders'!$Q:$Q,$A33,'MAIN DATA, Orders'!$C:$C,"Germany",'MAIN DATA, Orders'!$S:$S,"0")/1000000000)</f>
        <v>0</v>
      </c>
      <c r="D33" s="61">
        <f>(SUMIFS('MAIN DATA, Orders'!$M:$M,'MAIN DATA, Orders'!$Q:$Q,$A33,'MAIN DATA, Orders'!$C:$C,"Germany",'MAIN DATA, Orders'!$S:$S,"1")/1000000000)</f>
        <v>0</v>
      </c>
    </row>
    <row r="34" spans="1:4">
      <c r="A34" s="72">
        <v>28</v>
      </c>
      <c r="B34" s="68">
        <v>44652</v>
      </c>
      <c r="C34" s="61">
        <f>(SUMIFS('MAIN DATA, Orders'!$M:$M,'MAIN DATA, Orders'!$Q:$Q,$A34,'MAIN DATA, Orders'!$C:$C,"Germany",'MAIN DATA, Orders'!$S:$S,"0")/1000000000)</f>
        <v>0.15</v>
      </c>
      <c r="D34" s="61">
        <f>(SUMIFS('MAIN DATA, Orders'!$M:$M,'MAIN DATA, Orders'!$Q:$Q,$A34,'MAIN DATA, Orders'!$C:$C,"Germany",'MAIN DATA, Orders'!$S:$S,"1")/1000000000)</f>
        <v>0</v>
      </c>
    </row>
    <row r="35" spans="1:4">
      <c r="A35" s="72">
        <v>29</v>
      </c>
      <c r="B35" s="68">
        <v>44682</v>
      </c>
      <c r="C35" s="61">
        <f>(SUMIFS('MAIN DATA, Orders'!$M:$M,'MAIN DATA, Orders'!$Q:$Q,$A35,'MAIN DATA, Orders'!$C:$C,"Germany",'MAIN DATA, Orders'!$S:$S,"0")/1000000000)</f>
        <v>2.4</v>
      </c>
      <c r="D35" s="61">
        <f>(SUMIFS('MAIN DATA, Orders'!$M:$M,'MAIN DATA, Orders'!$Q:$Q,$A35,'MAIN DATA, Orders'!$C:$C,"Germany",'MAIN DATA, Orders'!$S:$S,"1")/1000000000)</f>
        <v>0.1139</v>
      </c>
    </row>
    <row r="36" spans="1:4">
      <c r="A36" s="72">
        <v>30</v>
      </c>
      <c r="B36" s="68">
        <v>44713</v>
      </c>
      <c r="C36" s="61">
        <f>(SUMIFS('MAIN DATA, Orders'!$M:$M,'MAIN DATA, Orders'!$Q:$Q,$A36,'MAIN DATA, Orders'!$C:$C,"Germany",'MAIN DATA, Orders'!$S:$S,"0")/1000000000)</f>
        <v>0.13600000000000001</v>
      </c>
      <c r="D36" s="61">
        <f>(SUMIFS('MAIN DATA, Orders'!$M:$M,'MAIN DATA, Orders'!$Q:$Q,$A36,'MAIN DATA, Orders'!$C:$C,"Germany",'MAIN DATA, Orders'!$S:$S,"1")/1000000000)</f>
        <v>0</v>
      </c>
    </row>
    <row r="37" spans="1:4">
      <c r="A37" s="72">
        <v>31</v>
      </c>
      <c r="B37" s="68">
        <v>44743</v>
      </c>
      <c r="C37" s="61">
        <f>(SUMIFS('MAIN DATA, Orders'!$M:$M,'MAIN DATA, Orders'!$Q:$Q,$A37,'MAIN DATA, Orders'!$C:$C,"Germany",'MAIN DATA, Orders'!$S:$S,"0")/1000000000)</f>
        <v>7.5159000000000002</v>
      </c>
      <c r="D37" s="61">
        <f>(SUMIFS('MAIN DATA, Orders'!$M:$M,'MAIN DATA, Orders'!$Q:$Q,$A37,'MAIN DATA, Orders'!$C:$C,"Germany",'MAIN DATA, Orders'!$S:$S,"1")/1000000000)</f>
        <v>0</v>
      </c>
    </row>
    <row r="38" spans="1:4">
      <c r="A38" s="72">
        <v>32</v>
      </c>
      <c r="B38" s="68">
        <v>44774</v>
      </c>
      <c r="C38" s="61">
        <f>(SUMIFS('MAIN DATA, Orders'!$M:$M,'MAIN DATA, Orders'!$Q:$Q,$A38,'MAIN DATA, Orders'!$C:$C,"Germany",'MAIN DATA, Orders'!$S:$S,"0")/1000000000)</f>
        <v>0</v>
      </c>
      <c r="D38" s="61">
        <f>(SUMIFS('MAIN DATA, Orders'!$M:$M,'MAIN DATA, Orders'!$Q:$Q,$A38,'MAIN DATA, Orders'!$C:$C,"Germany",'MAIN DATA, Orders'!$S:$S,"1")/1000000000)</f>
        <v>0</v>
      </c>
    </row>
    <row r="39" spans="1:4">
      <c r="A39" s="72">
        <v>33</v>
      </c>
      <c r="B39" s="68">
        <v>44805</v>
      </c>
      <c r="C39" s="61">
        <f>(SUMIFS('MAIN DATA, Orders'!$M:$M,'MAIN DATA, Orders'!$Q:$Q,$A39,'MAIN DATA, Orders'!$C:$C,"Germany",'MAIN DATA, Orders'!$S:$S,"0")/1000000000)</f>
        <v>0.63700000000000001</v>
      </c>
      <c r="D39" s="61">
        <f>(SUMIFS('MAIN DATA, Orders'!$M:$M,'MAIN DATA, Orders'!$Q:$Q,$A39,'MAIN DATA, Orders'!$C:$C,"Germany",'MAIN DATA, Orders'!$S:$S,"1")/1000000000)</f>
        <v>0</v>
      </c>
    </row>
    <row r="40" spans="1:4">
      <c r="A40" s="72">
        <v>34</v>
      </c>
      <c r="B40" s="68">
        <v>44835</v>
      </c>
      <c r="C40" s="61">
        <f>(SUMIFS('MAIN DATA, Orders'!$M:$M,'MAIN DATA, Orders'!$Q:$Q,$A40,'MAIN DATA, Orders'!$C:$C,"Germany",'MAIN DATA, Orders'!$S:$S,"0")/1000000000)</f>
        <v>0.10489999999999999</v>
      </c>
      <c r="D40" s="61">
        <f>(SUMIFS('MAIN DATA, Orders'!$M:$M,'MAIN DATA, Orders'!$Q:$Q,$A40,'MAIN DATA, Orders'!$C:$C,"Germany",'MAIN DATA, Orders'!$S:$S,"1")/1000000000)</f>
        <v>0</v>
      </c>
    </row>
    <row r="41" spans="1:4">
      <c r="A41" s="72">
        <v>35</v>
      </c>
      <c r="B41" s="68">
        <v>44866</v>
      </c>
      <c r="C41" s="61">
        <f>(SUMIFS('MAIN DATA, Orders'!$M:$M,'MAIN DATA, Orders'!$Q:$Q,$A41,'MAIN DATA, Orders'!$C:$C,"Germany",'MAIN DATA, Orders'!$S:$S,"0")/1000000000)</f>
        <v>0.10545</v>
      </c>
      <c r="D41" s="61">
        <f>(SUMIFS('MAIN DATA, Orders'!$M:$M,'MAIN DATA, Orders'!$Q:$Q,$A41,'MAIN DATA, Orders'!$C:$C,"Germany",'MAIN DATA, Orders'!$S:$S,"1")/1000000000)</f>
        <v>0.05</v>
      </c>
    </row>
    <row r="42" spans="1:4">
      <c r="A42" s="72">
        <v>36</v>
      </c>
      <c r="B42" s="68">
        <v>44896</v>
      </c>
      <c r="C42" s="61">
        <f>(SUMIFS('MAIN DATA, Orders'!$M:$M,'MAIN DATA, Orders'!$Q:$Q,$A42,'MAIN DATA, Orders'!$C:$C,"Germany",'MAIN DATA, Orders'!$S:$S,"0")/1000000000)</f>
        <v>9.8840000000000003</v>
      </c>
      <c r="D42" s="61">
        <f>(SUMIFS('MAIN DATA, Orders'!$M:$M,'MAIN DATA, Orders'!$Q:$Q,$A42,'MAIN DATA, Orders'!$C:$C,"Germany",'MAIN DATA, Orders'!$S:$S,"1")/1000000000)</f>
        <v>0</v>
      </c>
    </row>
    <row r="43" spans="1:4">
      <c r="A43" s="72">
        <v>37</v>
      </c>
      <c r="B43" s="68">
        <v>44927</v>
      </c>
      <c r="C43" s="61">
        <f>(SUMIFS('MAIN DATA, Orders'!$M:$M,'MAIN DATA, Orders'!$Q:$Q,$A43,'MAIN DATA, Orders'!$C:$C,"Germany",'MAIN DATA, Orders'!$S:$S,"0")/1000000000)</f>
        <v>0</v>
      </c>
      <c r="D43" s="61">
        <f>(SUMIFS('MAIN DATA, Orders'!$M:$M,'MAIN DATA, Orders'!$Q:$Q,$A43,'MAIN DATA, Orders'!$C:$C,"Germany",'MAIN DATA, Orders'!$S:$S,"1")/1000000000)</f>
        <v>0</v>
      </c>
    </row>
    <row r="44" spans="1:4">
      <c r="A44" s="72">
        <v>38</v>
      </c>
      <c r="B44" s="68">
        <v>44958</v>
      </c>
      <c r="C44" s="61">
        <f>(SUMIFS('MAIN DATA, Orders'!$M:$M,'MAIN DATA, Orders'!$Q:$Q,$A44,'MAIN DATA, Orders'!$C:$C,"Germany",'MAIN DATA, Orders'!$S:$S,"0")/1000000000)</f>
        <v>0.16800000000000001</v>
      </c>
      <c r="D44" s="61">
        <f>(SUMIFS('MAIN DATA, Orders'!$M:$M,'MAIN DATA, Orders'!$Q:$Q,$A44,'MAIN DATA, Orders'!$C:$C,"Germany",'MAIN DATA, Orders'!$S:$S,"1")/1000000000)</f>
        <v>5.28E-2</v>
      </c>
    </row>
    <row r="45" spans="1:4">
      <c r="A45" s="72">
        <v>39</v>
      </c>
      <c r="B45" s="68">
        <v>44986</v>
      </c>
      <c r="C45" s="61">
        <f>(SUMIFS('MAIN DATA, Orders'!$M:$M,'MAIN DATA, Orders'!$Q:$Q,$A45,'MAIN DATA, Orders'!$C:$C,"Germany",'MAIN DATA, Orders'!$S:$S,"0")/1000000000)</f>
        <v>1.3744000000000001</v>
      </c>
      <c r="D45" s="61">
        <f>(SUMIFS('MAIN DATA, Orders'!$M:$M,'MAIN DATA, Orders'!$Q:$Q,$A45,'MAIN DATA, Orders'!$C:$C,"Germany",'MAIN DATA, Orders'!$S:$S,"1")/1000000000)</f>
        <v>0</v>
      </c>
    </row>
    <row r="46" spans="1:4">
      <c r="A46" s="72">
        <v>40</v>
      </c>
      <c r="B46" s="68">
        <v>45017</v>
      </c>
      <c r="C46" s="61">
        <f>(SUMIFS('MAIN DATA, Orders'!$M:$M,'MAIN DATA, Orders'!$Q:$Q,$A46,'MAIN DATA, Orders'!$C:$C,"Germany",'MAIN DATA, Orders'!$S:$S,"0")/1000000000)</f>
        <v>0.76700000000000002</v>
      </c>
      <c r="D46" s="61">
        <f>(SUMIFS('MAIN DATA, Orders'!$M:$M,'MAIN DATA, Orders'!$Q:$Q,$A46,'MAIN DATA, Orders'!$C:$C,"Germany",'MAIN DATA, Orders'!$S:$S,"1")/1000000000)</f>
        <v>0</v>
      </c>
    </row>
    <row r="47" spans="1:4">
      <c r="A47" s="72">
        <v>41</v>
      </c>
      <c r="B47" s="68">
        <v>45047</v>
      </c>
      <c r="C47" s="61">
        <f>(SUMIFS('MAIN DATA, Orders'!$M:$M,'MAIN DATA, Orders'!$Q:$Q,$A47,'MAIN DATA, Orders'!$C:$C,"Germany",'MAIN DATA, Orders'!$S:$S,"0")/1000000000)</f>
        <v>2.0152999999999999</v>
      </c>
      <c r="D47" s="61">
        <f>(SUMIFS('MAIN DATA, Orders'!$M:$M,'MAIN DATA, Orders'!$Q:$Q,$A47,'MAIN DATA, Orders'!$C:$C,"Germany",'MAIN DATA, Orders'!$S:$S,"1")/1000000000)</f>
        <v>0</v>
      </c>
    </row>
    <row r="48" spans="1:4">
      <c r="A48" s="72">
        <v>42</v>
      </c>
      <c r="B48" s="68">
        <v>45078</v>
      </c>
      <c r="C48" s="61">
        <f>(SUMIFS('MAIN DATA, Orders'!$M:$M,'MAIN DATA, Orders'!$Q:$Q,$A48,'MAIN DATA, Orders'!$C:$C,"Germany",'MAIN DATA, Orders'!$S:$S,"0")/1000000000)</f>
        <v>1.8532</v>
      </c>
      <c r="D48" s="61">
        <f>(SUMIFS('MAIN DATA, Orders'!$M:$M,'MAIN DATA, Orders'!$Q:$Q,$A48,'MAIN DATA, Orders'!$C:$C,"Germany",'MAIN DATA, Orders'!$S:$S,"1")/1000000000)</f>
        <v>0</v>
      </c>
    </row>
    <row r="49" spans="1:4">
      <c r="A49" s="72">
        <v>43</v>
      </c>
      <c r="B49" s="68">
        <v>45108</v>
      </c>
      <c r="C49" s="61">
        <f>(SUMIFS('MAIN DATA, Orders'!$M:$M,'MAIN DATA, Orders'!$Q:$Q,$A49,'MAIN DATA, Orders'!$C:$C,"Germany",'MAIN DATA, Orders'!$S:$S,"0")/1000000000)</f>
        <v>9.7448999999999995</v>
      </c>
      <c r="D49" s="61">
        <f>(SUMIFS('MAIN DATA, Orders'!$M:$M,'MAIN DATA, Orders'!$Q:$Q,$A49,'MAIN DATA, Orders'!$C:$C,"Germany",'MAIN DATA, Orders'!$S:$S,"1")/1000000000)</f>
        <v>0</v>
      </c>
    </row>
    <row r="50" spans="1:4">
      <c r="A50" s="72">
        <v>44</v>
      </c>
      <c r="B50" s="68">
        <v>45139</v>
      </c>
      <c r="C50" s="61">
        <f>(SUMIFS('MAIN DATA, Orders'!$M:$M,'MAIN DATA, Orders'!$Q:$Q,$A50,'MAIN DATA, Orders'!$C:$C,"Germany",'MAIN DATA, Orders'!$S:$S,"0")/1000000000)</f>
        <v>0</v>
      </c>
      <c r="D50" s="61">
        <f>(SUMIFS('MAIN DATA, Orders'!$M:$M,'MAIN DATA, Orders'!$Q:$Q,$A50,'MAIN DATA, Orders'!$C:$C,"Germany",'MAIN DATA, Orders'!$S:$S,"1")/1000000000)</f>
        <v>0</v>
      </c>
    </row>
    <row r="51" spans="1:4">
      <c r="A51" s="72">
        <v>45</v>
      </c>
      <c r="B51" s="68">
        <v>45170</v>
      </c>
      <c r="C51" s="61">
        <f>(SUMIFS('MAIN DATA, Orders'!$M:$M,'MAIN DATA, Orders'!$Q:$Q,$A51,'MAIN DATA, Orders'!$C:$C,"Germany",'MAIN DATA, Orders'!$S:$S,"0")/1000000000)</f>
        <v>0.43630000000000002</v>
      </c>
      <c r="D51" s="61">
        <f>(SUMIFS('MAIN DATA, Orders'!$M:$M,'MAIN DATA, Orders'!$Q:$Q,$A51,'MAIN DATA, Orders'!$C:$C,"Germany",'MAIN DATA, Orders'!$S:$S,"1")/1000000000)</f>
        <v>0</v>
      </c>
    </row>
    <row r="52" spans="1:4">
      <c r="A52" s="72">
        <v>46</v>
      </c>
      <c r="B52" s="68">
        <v>45200</v>
      </c>
      <c r="C52" s="61">
        <f>(SUMIFS('MAIN DATA, Orders'!$M:$M,'MAIN DATA, Orders'!$Q:$Q,$A52,'MAIN DATA, Orders'!$C:$C,"Germany",'MAIN DATA, Orders'!$S:$S,"0")/1000000000)</f>
        <v>4.4124999999999996</v>
      </c>
      <c r="D52" s="61">
        <f>(SUMIFS('MAIN DATA, Orders'!$M:$M,'MAIN DATA, Orders'!$Q:$Q,$A52,'MAIN DATA, Orders'!$C:$C,"Germany",'MAIN DATA, Orders'!$S:$S,"1")/1000000000)</f>
        <v>0</v>
      </c>
    </row>
    <row r="53" spans="1:4">
      <c r="A53" s="72">
        <v>47</v>
      </c>
      <c r="B53" s="68">
        <v>45231</v>
      </c>
      <c r="C53" s="61">
        <f>(SUMIFS('MAIN DATA, Orders'!$M:$M,'MAIN DATA, Orders'!$Q:$Q,$A53,'MAIN DATA, Orders'!$C:$C,"Germany",'MAIN DATA, Orders'!$S:$S,"0")/1000000000)</f>
        <v>1.5503</v>
      </c>
      <c r="D53" s="61">
        <f>(SUMIFS('MAIN DATA, Orders'!$M:$M,'MAIN DATA, Orders'!$Q:$Q,$A53,'MAIN DATA, Orders'!$C:$C,"Germany",'MAIN DATA, Orders'!$S:$S,"1")/1000000000)</f>
        <v>13.4</v>
      </c>
    </row>
    <row r="54" spans="1:4">
      <c r="A54" s="72">
        <v>48</v>
      </c>
      <c r="B54" s="68">
        <v>45261</v>
      </c>
      <c r="C54" s="61">
        <f>(SUMIFS('MAIN DATA, Orders'!$M:$M,'MAIN DATA, Orders'!$Q:$Q,$A54,'MAIN DATA, Orders'!$C:$C,"Germany",'MAIN DATA, Orders'!$S:$S,"0")/1000000000)</f>
        <v>6.2514799999999999</v>
      </c>
      <c r="D54" s="61">
        <f>(SUMIFS('MAIN DATA, Orders'!$M:$M,'MAIN DATA, Orders'!$Q:$Q,$A54,'MAIN DATA, Orders'!$C:$C,"Germany",'MAIN DATA, Orders'!$S:$S,"1")/1000000000)</f>
        <v>0</v>
      </c>
    </row>
    <row r="55" spans="1:4">
      <c r="A55" s="72">
        <v>49</v>
      </c>
      <c r="B55" s="68">
        <v>45292</v>
      </c>
      <c r="C55" s="61">
        <f>(SUMIFS('MAIN DATA, Orders'!$M:$M,'MAIN DATA, Orders'!$Q:$Q,$A55,'MAIN DATA, Orders'!$C:$C,"Germany",'MAIN DATA, Orders'!$S:$S,"0")/1000000000)</f>
        <v>1.23</v>
      </c>
      <c r="D55" s="61">
        <f>(SUMIFS('MAIN DATA, Orders'!$M:$M,'MAIN DATA, Orders'!$Q:$Q,$A55,'MAIN DATA, Orders'!$C:$C,"Germany",'MAIN DATA, Orders'!$S:$S,"1")/1000000000)</f>
        <v>0</v>
      </c>
    </row>
    <row r="56" spans="1:4">
      <c r="A56" s="72">
        <v>50</v>
      </c>
      <c r="B56" s="68">
        <v>45323</v>
      </c>
      <c r="C56" s="61">
        <f>(SUMIFS('MAIN DATA, Orders'!$M:$M,'MAIN DATA, Orders'!$Q:$Q,$A56,'MAIN DATA, Orders'!$C:$C,"Germany",'MAIN DATA, Orders'!$S:$S,"0")/1000000000)</f>
        <v>2.8490000000000002</v>
      </c>
      <c r="D56" s="61">
        <f>(SUMIFS('MAIN DATA, Orders'!$M:$M,'MAIN DATA, Orders'!$Q:$Q,$A56,'MAIN DATA, Orders'!$C:$C,"Germany",'MAIN DATA, Orders'!$S:$S,"1")/1000000000)</f>
        <v>0</v>
      </c>
    </row>
    <row r="57" spans="1:4">
      <c r="A57" s="72">
        <v>51</v>
      </c>
      <c r="B57" s="68">
        <v>45352</v>
      </c>
      <c r="C57" s="61">
        <f>(SUMIFS('MAIN DATA, Orders'!$M:$M,'MAIN DATA, Orders'!$Q:$Q,$A57,'MAIN DATA, Orders'!$C:$C,"Germany",'MAIN DATA, Orders'!$S:$S,"0")/1000000000)</f>
        <v>4.4318999999999997</v>
      </c>
      <c r="D57" s="61">
        <f>(SUMIFS('MAIN DATA, Orders'!$M:$M,'MAIN DATA, Orders'!$Q:$Q,$A57,'MAIN DATA, Orders'!$C:$C,"Germany",'MAIN DATA, Orders'!$S:$S,"1")/1000000000)</f>
        <v>0</v>
      </c>
    </row>
    <row r="58" spans="1:4">
      <c r="A58" s="72">
        <v>52</v>
      </c>
      <c r="B58" s="68">
        <v>45383</v>
      </c>
      <c r="C58" s="61">
        <f>(SUMIFS('MAIN DATA, Orders'!$M:$M,'MAIN DATA, Orders'!$Q:$Q,$A58,'MAIN DATA, Orders'!$C:$C,"Germany",'MAIN DATA, Orders'!$S:$S,"0")/1000000000)</f>
        <v>0.58699999999999997</v>
      </c>
      <c r="D58" s="61">
        <f>(SUMIFS('MAIN DATA, Orders'!$M:$M,'MAIN DATA, Orders'!$Q:$Q,$A58,'MAIN DATA, Orders'!$C:$C,"Germany",'MAIN DATA, Orders'!$S:$S,"1")/1000000000)</f>
        <v>0</v>
      </c>
    </row>
    <row r="59" spans="1:4">
      <c r="A59" s="72">
        <v>53</v>
      </c>
      <c r="B59" s="68">
        <v>45413</v>
      </c>
      <c r="C59" s="61">
        <f>(SUMIFS('MAIN DATA, Orders'!$M:$M,'MAIN DATA, Orders'!$Q:$Q,$A59,'MAIN DATA, Orders'!$C:$C,"Germany",'MAIN DATA, Orders'!$S:$S,"0")/1000000000)</f>
        <v>1.8489599999999999</v>
      </c>
      <c r="D59" s="61">
        <f>(SUMIFS('MAIN DATA, Orders'!$M:$M,'MAIN DATA, Orders'!$Q:$Q,$A59,'MAIN DATA, Orders'!$C:$C,"Germany",'MAIN DATA, Orders'!$S:$S,"1")/1000000000)</f>
        <v>0</v>
      </c>
    </row>
    <row r="60" spans="1:4">
      <c r="A60" s="72">
        <v>54</v>
      </c>
      <c r="B60" s="68">
        <v>45444</v>
      </c>
      <c r="C60" s="61">
        <f>(SUMIFS('MAIN DATA, Orders'!$M:$M,'MAIN DATA, Orders'!$Q:$Q,$A60,'MAIN DATA, Orders'!$C:$C,"Germany",'MAIN DATA, Orders'!$S:$S,"0")/1000000000)</f>
        <v>9.4770000000000003</v>
      </c>
      <c r="D60" s="61">
        <f>(SUMIFS('MAIN DATA, Orders'!$M:$M,'MAIN DATA, Orders'!$Q:$Q,$A60,'MAIN DATA, Orders'!$C:$C,"Germany",'MAIN DATA, Orders'!$S:$S,"1")/1000000000)</f>
        <v>0</v>
      </c>
    </row>
    <row r="61" spans="1:4">
      <c r="A61" s="72">
        <v>55</v>
      </c>
      <c r="B61" s="155">
        <v>45474</v>
      </c>
      <c r="C61" s="159">
        <f>(SUMIFS('MAIN DATA, Orders'!$M:$M,'MAIN DATA, Orders'!$Q:$Q,$A61,'MAIN DATA, Orders'!$C:$C,"Germany",'MAIN DATA, Orders'!$S:$S,"0")/1000000000)</f>
        <v>6.319</v>
      </c>
      <c r="D61" s="159">
        <f>(SUMIFS('MAIN DATA, Orders'!$M:$M,'MAIN DATA, Orders'!$Q:$Q,$A61,'MAIN DATA, Orders'!$C:$C,"Germany",'MAIN DATA, Orders'!$S:$S,"1")/1000000000)</f>
        <v>0</v>
      </c>
    </row>
    <row r="62" spans="1:4">
      <c r="A62" s="199"/>
      <c r="B62" s="68"/>
      <c r="C62" s="61"/>
      <c r="D62" s="61"/>
    </row>
    <row r="63" spans="1:4">
      <c r="A63" s="199"/>
      <c r="B63" s="19" t="s">
        <v>1431</v>
      </c>
      <c r="C63" s="69">
        <f>SUM(C7:C61)</f>
        <v>111.82436800000002</v>
      </c>
      <c r="D63" s="69">
        <f>SUM(D7:D61)</f>
        <v>25.8187</v>
      </c>
    </row>
  </sheetData>
  <mergeCells count="1">
    <mergeCell ref="B4:G4"/>
  </mergeCell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00F25-BC0C-4F43-A040-7762150AFA49}">
  <sheetPr>
    <tabColor theme="9" tint="0.59999389629810485"/>
  </sheetPr>
  <dimension ref="A2:E63"/>
  <sheetViews>
    <sheetView workbookViewId="0"/>
  </sheetViews>
  <sheetFormatPr defaultColWidth="8.69921875" defaultRowHeight="15.6"/>
  <cols>
    <col min="1" max="1" width="8.69921875" style="1"/>
    <col min="2" max="2" width="13.5" style="1" customWidth="1"/>
    <col min="3" max="3" width="20.69921875" style="1" bestFit="1" customWidth="1"/>
    <col min="4" max="4" width="23.69921875" style="1" bestFit="1" customWidth="1"/>
    <col min="5" max="5" width="20.69921875" style="1" bestFit="1" customWidth="1"/>
    <col min="6" max="16384" width="8.69921875" style="1"/>
  </cols>
  <sheetData>
    <row r="2" spans="1:5" ht="25.2">
      <c r="B2" s="197" t="s">
        <v>1656</v>
      </c>
    </row>
    <row r="4" spans="1:5" ht="130.19999999999999" customHeight="1">
      <c r="B4" s="206" t="s">
        <v>1657</v>
      </c>
      <c r="C4" s="206"/>
      <c r="D4" s="206"/>
      <c r="E4" s="206"/>
    </row>
    <row r="6" spans="1:5" ht="21" customHeight="1">
      <c r="B6" s="161" t="s">
        <v>1404</v>
      </c>
      <c r="C6" s="162" t="s">
        <v>165</v>
      </c>
      <c r="D6" s="162" t="s">
        <v>665</v>
      </c>
      <c r="E6" s="162" t="s">
        <v>784</v>
      </c>
    </row>
    <row r="7" spans="1:5">
      <c r="A7" s="72">
        <v>1</v>
      </c>
      <c r="B7" s="68">
        <v>43831</v>
      </c>
      <c r="C7" s="61">
        <f>(SUMIFS('MAIN DATA, Orders'!$M:$M,'MAIN DATA, Orders'!$C:$C,"Germany",'MAIN DATA, Orders'!$N:$N,"Einzelplan 14",'MAIN DATA, Orders'!$G:$G,"Ammunition",'MAIN DATA, Orders'!$Q:$Q,$A7)/1000000000)</f>
        <v>0</v>
      </c>
      <c r="D7" s="61">
        <f>(SUMIFS('MAIN DATA, Orders'!$M:$M,'MAIN DATA, Orders'!$C:$C,"Germany",'MAIN DATA, Orders'!$N:$N,"Sondervermögen",'MAIN DATA, Orders'!$G:$G,"Ammunition",'MAIN DATA, Orders'!$Q:$Q,$A7)/1000000000)</f>
        <v>0</v>
      </c>
      <c r="E7" s="61">
        <f>(SUMIFS('MAIN DATA, Orders'!$M:$M,'MAIN DATA, Orders'!$C:$C,"Germany",'MAIN DATA, Orders'!$N:$N,"Einzelplan 60",'MAIN DATA, Orders'!$G:$G,"Ammunition",'MAIN DATA, Orders'!$Q:$Q,$A7)/1000000000)</f>
        <v>0</v>
      </c>
    </row>
    <row r="8" spans="1:5">
      <c r="A8" s="72">
        <v>2</v>
      </c>
      <c r="B8" s="68">
        <v>43862</v>
      </c>
      <c r="C8" s="61">
        <f>(SUMIFS('MAIN DATA, Orders'!$M:$M,'MAIN DATA, Orders'!$C:$C,"Germany",'MAIN DATA, Orders'!$N:$N,"Einzelplan 14",'MAIN DATA, Orders'!$G:$G,"Ammunition",'MAIN DATA, Orders'!$Q:$Q,$A8)/1000000000)</f>
        <v>0</v>
      </c>
      <c r="D8" s="61">
        <f>(SUMIFS('MAIN DATA, Orders'!$M:$M,'MAIN DATA, Orders'!$C:$C,"Germany",'MAIN DATA, Orders'!$N:$N,"Sondervermögen",'MAIN DATA, Orders'!$G:$G,"Ammunition",'MAIN DATA, Orders'!$Q:$Q,$A8)/1000000000)</f>
        <v>0</v>
      </c>
      <c r="E8" s="61">
        <f>(SUMIFS('MAIN DATA, Orders'!$M:$M,'MAIN DATA, Orders'!$C:$C,"Germany",'MAIN DATA, Orders'!$N:$N,"Einzelplan 60",'MAIN DATA, Orders'!$G:$G,"Ammunition",'MAIN DATA, Orders'!$Q:$Q,$A8)/1000000000)</f>
        <v>0</v>
      </c>
    </row>
    <row r="9" spans="1:5">
      <c r="A9" s="72">
        <v>3</v>
      </c>
      <c r="B9" s="68">
        <v>43891</v>
      </c>
      <c r="C9" s="61">
        <f>(SUMIFS('MAIN DATA, Orders'!$M:$M,'MAIN DATA, Orders'!$C:$C,"Germany",'MAIN DATA, Orders'!$N:$N,"Einzelplan 14",'MAIN DATA, Orders'!$G:$G,"Ammunition",'MAIN DATA, Orders'!$Q:$Q,$A9)/1000000000)</f>
        <v>0</v>
      </c>
      <c r="D9" s="61">
        <f>(SUMIFS('MAIN DATA, Orders'!$M:$M,'MAIN DATA, Orders'!$C:$C,"Germany",'MAIN DATA, Orders'!$N:$N,"Sondervermögen",'MAIN DATA, Orders'!$G:$G,"Ammunition",'MAIN DATA, Orders'!$Q:$Q,$A9)/1000000000)</f>
        <v>0</v>
      </c>
      <c r="E9" s="61">
        <f>(SUMIFS('MAIN DATA, Orders'!$M:$M,'MAIN DATA, Orders'!$C:$C,"Germany",'MAIN DATA, Orders'!$N:$N,"Einzelplan 60",'MAIN DATA, Orders'!$G:$G,"Ammunition",'MAIN DATA, Orders'!$Q:$Q,$A9)/1000000000)</f>
        <v>0</v>
      </c>
    </row>
    <row r="10" spans="1:5">
      <c r="A10" s="72">
        <v>4</v>
      </c>
      <c r="B10" s="68">
        <v>43922</v>
      </c>
      <c r="C10" s="61">
        <f>(SUMIFS('MAIN DATA, Orders'!$M:$M,'MAIN DATA, Orders'!$C:$C,"Germany",'MAIN DATA, Orders'!$N:$N,"Einzelplan 14",'MAIN DATA, Orders'!$G:$G,"Ammunition",'MAIN DATA, Orders'!$Q:$Q,$A10)/1000000000)</f>
        <v>0</v>
      </c>
      <c r="D10" s="61">
        <f>(SUMIFS('MAIN DATA, Orders'!$M:$M,'MAIN DATA, Orders'!$C:$C,"Germany",'MAIN DATA, Orders'!$N:$N,"Sondervermögen",'MAIN DATA, Orders'!$G:$G,"Ammunition",'MAIN DATA, Orders'!$Q:$Q,$A10)/1000000000)</f>
        <v>0</v>
      </c>
      <c r="E10" s="61">
        <f>(SUMIFS('MAIN DATA, Orders'!$M:$M,'MAIN DATA, Orders'!$C:$C,"Germany",'MAIN DATA, Orders'!$N:$N,"Einzelplan 60",'MAIN DATA, Orders'!$G:$G,"Ammunition",'MAIN DATA, Orders'!$Q:$Q,$A10)/1000000000)</f>
        <v>0</v>
      </c>
    </row>
    <row r="11" spans="1:5">
      <c r="A11" s="72">
        <v>5</v>
      </c>
      <c r="B11" s="68">
        <v>43952</v>
      </c>
      <c r="C11" s="61">
        <f>(SUMIFS('MAIN DATA, Orders'!$M:$M,'MAIN DATA, Orders'!$C:$C,"Germany",'MAIN DATA, Orders'!$N:$N,"Einzelplan 14",'MAIN DATA, Orders'!$G:$G,"Ammunition",'MAIN DATA, Orders'!$Q:$Q,$A11)/1000000000)</f>
        <v>0</v>
      </c>
      <c r="D11" s="61">
        <f>(SUMIFS('MAIN DATA, Orders'!$M:$M,'MAIN DATA, Orders'!$C:$C,"Germany",'MAIN DATA, Orders'!$N:$N,"Sondervermögen",'MAIN DATA, Orders'!$G:$G,"Ammunition",'MAIN DATA, Orders'!$Q:$Q,$A11)/1000000000)</f>
        <v>0</v>
      </c>
      <c r="E11" s="61">
        <f>(SUMIFS('MAIN DATA, Orders'!$M:$M,'MAIN DATA, Orders'!$C:$C,"Germany",'MAIN DATA, Orders'!$N:$N,"Einzelplan 60",'MAIN DATA, Orders'!$G:$G,"Ammunition",'MAIN DATA, Orders'!$Q:$Q,$A11)/1000000000)</f>
        <v>0</v>
      </c>
    </row>
    <row r="12" spans="1:5">
      <c r="A12" s="72">
        <v>6</v>
      </c>
      <c r="B12" s="68">
        <v>43983</v>
      </c>
      <c r="C12" s="61">
        <f>(SUMIFS('MAIN DATA, Orders'!$M:$M,'MAIN DATA, Orders'!$C:$C,"Germany",'MAIN DATA, Orders'!$N:$N,"Einzelplan 14",'MAIN DATA, Orders'!$G:$G,"Ammunition",'MAIN DATA, Orders'!$Q:$Q,$A12)/1000000000)</f>
        <v>0</v>
      </c>
      <c r="D12" s="61">
        <f>(SUMIFS('MAIN DATA, Orders'!$M:$M,'MAIN DATA, Orders'!$C:$C,"Germany",'MAIN DATA, Orders'!$N:$N,"Sondervermögen",'MAIN DATA, Orders'!$G:$G,"Ammunition",'MAIN DATA, Orders'!$Q:$Q,$A12)/1000000000)</f>
        <v>0</v>
      </c>
      <c r="E12" s="61">
        <f>(SUMIFS('MAIN DATA, Orders'!$M:$M,'MAIN DATA, Orders'!$C:$C,"Germany",'MAIN DATA, Orders'!$N:$N,"Einzelplan 60",'MAIN DATA, Orders'!$G:$G,"Ammunition",'MAIN DATA, Orders'!$Q:$Q,$A12)/1000000000)</f>
        <v>0</v>
      </c>
    </row>
    <row r="13" spans="1:5">
      <c r="A13" s="72">
        <v>7</v>
      </c>
      <c r="B13" s="68">
        <v>44013</v>
      </c>
      <c r="C13" s="61">
        <f>(SUMIFS('MAIN DATA, Orders'!$M:$M,'MAIN DATA, Orders'!$C:$C,"Germany",'MAIN DATA, Orders'!$N:$N,"Einzelplan 14",'MAIN DATA, Orders'!$G:$G,"Ammunition",'MAIN DATA, Orders'!$Q:$Q,$A13)/1000000000)</f>
        <v>0</v>
      </c>
      <c r="D13" s="61">
        <f>(SUMIFS('MAIN DATA, Orders'!$M:$M,'MAIN DATA, Orders'!$C:$C,"Germany",'MAIN DATA, Orders'!$N:$N,"Sondervermögen",'MAIN DATA, Orders'!$G:$G,"Ammunition",'MAIN DATA, Orders'!$Q:$Q,$A13)/1000000000)</f>
        <v>0</v>
      </c>
      <c r="E13" s="61">
        <f>(SUMIFS('MAIN DATA, Orders'!$M:$M,'MAIN DATA, Orders'!$C:$C,"Germany",'MAIN DATA, Orders'!$N:$N,"Einzelplan 60",'MAIN DATA, Orders'!$G:$G,"Ammunition",'MAIN DATA, Orders'!$Q:$Q,$A13)/1000000000)</f>
        <v>0</v>
      </c>
    </row>
    <row r="14" spans="1:5">
      <c r="A14" s="72">
        <v>8</v>
      </c>
      <c r="B14" s="68">
        <v>44044</v>
      </c>
      <c r="C14" s="61">
        <f>(SUMIFS('MAIN DATA, Orders'!$M:$M,'MAIN DATA, Orders'!$C:$C,"Germany",'MAIN DATA, Orders'!$N:$N,"Einzelplan 14",'MAIN DATA, Orders'!$G:$G,"Ammunition",'MAIN DATA, Orders'!$Q:$Q,$A14)/1000000000)</f>
        <v>0</v>
      </c>
      <c r="D14" s="61">
        <f>(SUMIFS('MAIN DATA, Orders'!$M:$M,'MAIN DATA, Orders'!$C:$C,"Germany",'MAIN DATA, Orders'!$N:$N,"Sondervermögen",'MAIN DATA, Orders'!$G:$G,"Ammunition",'MAIN DATA, Orders'!$Q:$Q,$A14)/1000000000)</f>
        <v>0</v>
      </c>
      <c r="E14" s="61">
        <f>(SUMIFS('MAIN DATA, Orders'!$M:$M,'MAIN DATA, Orders'!$C:$C,"Germany",'MAIN DATA, Orders'!$N:$N,"Einzelplan 60",'MAIN DATA, Orders'!$G:$G,"Ammunition",'MAIN DATA, Orders'!$Q:$Q,$A14)/1000000000)</f>
        <v>0</v>
      </c>
    </row>
    <row r="15" spans="1:5">
      <c r="A15" s="72">
        <v>9</v>
      </c>
      <c r="B15" s="68">
        <v>44075</v>
      </c>
      <c r="C15" s="61">
        <f>(SUMIFS('MAIN DATA, Orders'!$M:$M,'MAIN DATA, Orders'!$C:$C,"Germany",'MAIN DATA, Orders'!$N:$N,"Einzelplan 14",'MAIN DATA, Orders'!$G:$G,"Ammunition",'MAIN DATA, Orders'!$Q:$Q,$A15)/1000000000)</f>
        <v>0</v>
      </c>
      <c r="D15" s="61">
        <f>(SUMIFS('MAIN DATA, Orders'!$M:$M,'MAIN DATA, Orders'!$C:$C,"Germany",'MAIN DATA, Orders'!$N:$N,"Sondervermögen",'MAIN DATA, Orders'!$G:$G,"Ammunition",'MAIN DATA, Orders'!$Q:$Q,$A15)/1000000000)</f>
        <v>0</v>
      </c>
      <c r="E15" s="61">
        <f>(SUMIFS('MAIN DATA, Orders'!$M:$M,'MAIN DATA, Orders'!$C:$C,"Germany",'MAIN DATA, Orders'!$N:$N,"Einzelplan 60",'MAIN DATA, Orders'!$G:$G,"Ammunition",'MAIN DATA, Orders'!$Q:$Q,$A15)/1000000000)</f>
        <v>0</v>
      </c>
    </row>
    <row r="16" spans="1:5">
      <c r="A16" s="72">
        <v>10</v>
      </c>
      <c r="B16" s="68">
        <v>44105</v>
      </c>
      <c r="C16" s="61">
        <f>(SUMIFS('MAIN DATA, Orders'!$M:$M,'MAIN DATA, Orders'!$C:$C,"Germany",'MAIN DATA, Orders'!$N:$N,"Einzelplan 14",'MAIN DATA, Orders'!$G:$G,"Ammunition",'MAIN DATA, Orders'!$Q:$Q,$A16)/1000000000)</f>
        <v>0</v>
      </c>
      <c r="D16" s="61">
        <f>(SUMIFS('MAIN DATA, Orders'!$M:$M,'MAIN DATA, Orders'!$C:$C,"Germany",'MAIN DATA, Orders'!$N:$N,"Sondervermögen",'MAIN DATA, Orders'!$G:$G,"Ammunition",'MAIN DATA, Orders'!$Q:$Q,$A16)/1000000000)</f>
        <v>0</v>
      </c>
      <c r="E16" s="61">
        <f>(SUMIFS('MAIN DATA, Orders'!$M:$M,'MAIN DATA, Orders'!$C:$C,"Germany",'MAIN DATA, Orders'!$N:$N,"Einzelplan 60",'MAIN DATA, Orders'!$G:$G,"Ammunition",'MAIN DATA, Orders'!$Q:$Q,$A16)/1000000000)</f>
        <v>0</v>
      </c>
    </row>
    <row r="17" spans="1:5">
      <c r="A17" s="72">
        <v>11</v>
      </c>
      <c r="B17" s="68">
        <v>44136</v>
      </c>
      <c r="C17" s="61">
        <f>(SUMIFS('MAIN DATA, Orders'!$M:$M,'MAIN DATA, Orders'!$C:$C,"Germany",'MAIN DATA, Orders'!$N:$N,"Einzelplan 14",'MAIN DATA, Orders'!$G:$G,"Ammunition",'MAIN DATA, Orders'!$Q:$Q,$A17)/1000000000)</f>
        <v>2.5999999999999999E-2</v>
      </c>
      <c r="D17" s="61">
        <f>(SUMIFS('MAIN DATA, Orders'!$M:$M,'MAIN DATA, Orders'!$C:$C,"Germany",'MAIN DATA, Orders'!$N:$N,"Sondervermögen",'MAIN DATA, Orders'!$G:$G,"Ammunition",'MAIN DATA, Orders'!$Q:$Q,$A17)/1000000000)</f>
        <v>0</v>
      </c>
      <c r="E17" s="61">
        <f>(SUMIFS('MAIN DATA, Orders'!$M:$M,'MAIN DATA, Orders'!$C:$C,"Germany",'MAIN DATA, Orders'!$N:$N,"Einzelplan 60",'MAIN DATA, Orders'!$G:$G,"Ammunition",'MAIN DATA, Orders'!$Q:$Q,$A17)/1000000000)</f>
        <v>0</v>
      </c>
    </row>
    <row r="18" spans="1:5">
      <c r="A18" s="72">
        <v>12</v>
      </c>
      <c r="B18" s="68">
        <v>44166</v>
      </c>
      <c r="C18" s="61">
        <f>(SUMIFS('MAIN DATA, Orders'!$M:$M,'MAIN DATA, Orders'!$C:$C,"Germany",'MAIN DATA, Orders'!$N:$N,"Einzelplan 14",'MAIN DATA, Orders'!$G:$G,"Ammunition",'MAIN DATA, Orders'!$Q:$Q,$A18)/1000000000)</f>
        <v>0</v>
      </c>
      <c r="D18" s="61">
        <f>(SUMIFS('MAIN DATA, Orders'!$M:$M,'MAIN DATA, Orders'!$C:$C,"Germany",'MAIN DATA, Orders'!$N:$N,"Sondervermögen",'MAIN DATA, Orders'!$G:$G,"Ammunition",'MAIN DATA, Orders'!$Q:$Q,$A18)/1000000000)</f>
        <v>0</v>
      </c>
      <c r="E18" s="61">
        <f>(SUMIFS('MAIN DATA, Orders'!$M:$M,'MAIN DATA, Orders'!$C:$C,"Germany",'MAIN DATA, Orders'!$N:$N,"Einzelplan 60",'MAIN DATA, Orders'!$G:$G,"Ammunition",'MAIN DATA, Orders'!$Q:$Q,$A18)/1000000000)</f>
        <v>0</v>
      </c>
    </row>
    <row r="19" spans="1:5">
      <c r="A19" s="72">
        <v>13</v>
      </c>
      <c r="B19" s="68">
        <v>44197</v>
      </c>
      <c r="C19" s="61">
        <f>(SUMIFS('MAIN DATA, Orders'!$M:$M,'MAIN DATA, Orders'!$C:$C,"Germany",'MAIN DATA, Orders'!$N:$N,"Einzelplan 14",'MAIN DATA, Orders'!$G:$G,"Ammunition",'MAIN DATA, Orders'!$Q:$Q,$A19)/1000000000)</f>
        <v>0</v>
      </c>
      <c r="D19" s="61">
        <f>(SUMIFS('MAIN DATA, Orders'!$M:$M,'MAIN DATA, Orders'!$C:$C,"Germany",'MAIN DATA, Orders'!$N:$N,"Sondervermögen",'MAIN DATA, Orders'!$G:$G,"Ammunition",'MAIN DATA, Orders'!$Q:$Q,$A19)/1000000000)</f>
        <v>0</v>
      </c>
      <c r="E19" s="61">
        <f>(SUMIFS('MAIN DATA, Orders'!$M:$M,'MAIN DATA, Orders'!$C:$C,"Germany",'MAIN DATA, Orders'!$N:$N,"Einzelplan 60",'MAIN DATA, Orders'!$G:$G,"Ammunition",'MAIN DATA, Orders'!$Q:$Q,$A19)/1000000000)</f>
        <v>0</v>
      </c>
    </row>
    <row r="20" spans="1:5">
      <c r="A20" s="72">
        <v>14</v>
      </c>
      <c r="B20" s="68">
        <v>44228</v>
      </c>
      <c r="C20" s="61">
        <f>(SUMIFS('MAIN DATA, Orders'!$M:$M,'MAIN DATA, Orders'!$C:$C,"Germany",'MAIN DATA, Orders'!$N:$N,"Einzelplan 14",'MAIN DATA, Orders'!$G:$G,"Ammunition",'MAIN DATA, Orders'!$Q:$Q,$A20)/1000000000)</f>
        <v>0</v>
      </c>
      <c r="D20" s="61">
        <f>(SUMIFS('MAIN DATA, Orders'!$M:$M,'MAIN DATA, Orders'!$C:$C,"Germany",'MAIN DATA, Orders'!$N:$N,"Sondervermögen",'MAIN DATA, Orders'!$G:$G,"Ammunition",'MAIN DATA, Orders'!$Q:$Q,$A20)/1000000000)</f>
        <v>0</v>
      </c>
      <c r="E20" s="61">
        <f>(SUMIFS('MAIN DATA, Orders'!$M:$M,'MAIN DATA, Orders'!$C:$C,"Germany",'MAIN DATA, Orders'!$N:$N,"Einzelplan 60",'MAIN DATA, Orders'!$G:$G,"Ammunition",'MAIN DATA, Orders'!$Q:$Q,$A20)/1000000000)</f>
        <v>0</v>
      </c>
    </row>
    <row r="21" spans="1:5">
      <c r="A21" s="72">
        <v>15</v>
      </c>
      <c r="B21" s="68">
        <v>44256</v>
      </c>
      <c r="C21" s="61">
        <f>(SUMIFS('MAIN DATA, Orders'!$M:$M,'MAIN DATA, Orders'!$C:$C,"Germany",'MAIN DATA, Orders'!$N:$N,"Einzelplan 14",'MAIN DATA, Orders'!$G:$G,"Ammunition",'MAIN DATA, Orders'!$Q:$Q,$A21)/1000000000)</f>
        <v>0</v>
      </c>
      <c r="D21" s="61">
        <f>(SUMIFS('MAIN DATA, Orders'!$M:$M,'MAIN DATA, Orders'!$C:$C,"Germany",'MAIN DATA, Orders'!$N:$N,"Sondervermögen",'MAIN DATA, Orders'!$G:$G,"Ammunition",'MAIN DATA, Orders'!$Q:$Q,$A21)/1000000000)</f>
        <v>0</v>
      </c>
      <c r="E21" s="61">
        <f>(SUMIFS('MAIN DATA, Orders'!$M:$M,'MAIN DATA, Orders'!$C:$C,"Germany",'MAIN DATA, Orders'!$N:$N,"Einzelplan 60",'MAIN DATA, Orders'!$G:$G,"Ammunition",'MAIN DATA, Orders'!$Q:$Q,$A21)/1000000000)</f>
        <v>0</v>
      </c>
    </row>
    <row r="22" spans="1:5">
      <c r="A22" s="72">
        <v>16</v>
      </c>
      <c r="B22" s="68">
        <v>44287</v>
      </c>
      <c r="C22" s="61">
        <f>(SUMIFS('MAIN DATA, Orders'!$M:$M,'MAIN DATA, Orders'!$C:$C,"Germany",'MAIN DATA, Orders'!$N:$N,"Einzelplan 14",'MAIN DATA, Orders'!$G:$G,"Ammunition",'MAIN DATA, Orders'!$Q:$Q,$A22)/1000000000)</f>
        <v>0</v>
      </c>
      <c r="D22" s="61">
        <f>(SUMIFS('MAIN DATA, Orders'!$M:$M,'MAIN DATA, Orders'!$C:$C,"Germany",'MAIN DATA, Orders'!$N:$N,"Sondervermögen",'MAIN DATA, Orders'!$G:$G,"Ammunition",'MAIN DATA, Orders'!$Q:$Q,$A22)/1000000000)</f>
        <v>0</v>
      </c>
      <c r="E22" s="61">
        <f>(SUMIFS('MAIN DATA, Orders'!$M:$M,'MAIN DATA, Orders'!$C:$C,"Germany",'MAIN DATA, Orders'!$N:$N,"Einzelplan 60",'MAIN DATA, Orders'!$G:$G,"Ammunition",'MAIN DATA, Orders'!$Q:$Q,$A22)/1000000000)</f>
        <v>0</v>
      </c>
    </row>
    <row r="23" spans="1:5">
      <c r="A23" s="72">
        <v>17</v>
      </c>
      <c r="B23" s="68">
        <v>44317</v>
      </c>
      <c r="C23" s="61">
        <f>(SUMIFS('MAIN DATA, Orders'!$M:$M,'MAIN DATA, Orders'!$C:$C,"Germany",'MAIN DATA, Orders'!$N:$N,"Einzelplan 14",'MAIN DATA, Orders'!$G:$G,"Ammunition",'MAIN DATA, Orders'!$Q:$Q,$A23)/1000000000)</f>
        <v>0</v>
      </c>
      <c r="D23" s="61">
        <f>(SUMIFS('MAIN DATA, Orders'!$M:$M,'MAIN DATA, Orders'!$C:$C,"Germany",'MAIN DATA, Orders'!$N:$N,"Sondervermögen",'MAIN DATA, Orders'!$G:$G,"Ammunition",'MAIN DATA, Orders'!$Q:$Q,$A23)/1000000000)</f>
        <v>0</v>
      </c>
      <c r="E23" s="61">
        <f>(SUMIFS('MAIN DATA, Orders'!$M:$M,'MAIN DATA, Orders'!$C:$C,"Germany",'MAIN DATA, Orders'!$N:$N,"Einzelplan 60",'MAIN DATA, Orders'!$G:$G,"Ammunition",'MAIN DATA, Orders'!$Q:$Q,$A23)/1000000000)</f>
        <v>0</v>
      </c>
    </row>
    <row r="24" spans="1:5">
      <c r="A24" s="72">
        <v>18</v>
      </c>
      <c r="B24" s="68">
        <v>44348</v>
      </c>
      <c r="C24" s="61">
        <f>(SUMIFS('MAIN DATA, Orders'!$M:$M,'MAIN DATA, Orders'!$C:$C,"Germany",'MAIN DATA, Orders'!$N:$N,"Einzelplan 14",'MAIN DATA, Orders'!$G:$G,"Ammunition",'MAIN DATA, Orders'!$Q:$Q,$A24)/1000000000)</f>
        <v>5.1999999999999998E-2</v>
      </c>
      <c r="D24" s="61">
        <f>(SUMIFS('MAIN DATA, Orders'!$M:$M,'MAIN DATA, Orders'!$C:$C,"Germany",'MAIN DATA, Orders'!$N:$N,"Sondervermögen",'MAIN DATA, Orders'!$G:$G,"Ammunition",'MAIN DATA, Orders'!$Q:$Q,$A24)/1000000000)</f>
        <v>0</v>
      </c>
      <c r="E24" s="61">
        <f>(SUMIFS('MAIN DATA, Orders'!$M:$M,'MAIN DATA, Orders'!$C:$C,"Germany",'MAIN DATA, Orders'!$N:$N,"Einzelplan 60",'MAIN DATA, Orders'!$G:$G,"Ammunition",'MAIN DATA, Orders'!$Q:$Q,$A24)/1000000000)</f>
        <v>0</v>
      </c>
    </row>
    <row r="25" spans="1:5">
      <c r="A25" s="72">
        <v>19</v>
      </c>
      <c r="B25" s="68">
        <v>44378</v>
      </c>
      <c r="C25" s="61">
        <f>(SUMIFS('MAIN DATA, Orders'!$M:$M,'MAIN DATA, Orders'!$C:$C,"Germany",'MAIN DATA, Orders'!$N:$N,"Einzelplan 14",'MAIN DATA, Orders'!$G:$G,"Ammunition",'MAIN DATA, Orders'!$Q:$Q,$A25)/1000000000)</f>
        <v>0</v>
      </c>
      <c r="D25" s="61">
        <f>(SUMIFS('MAIN DATA, Orders'!$M:$M,'MAIN DATA, Orders'!$C:$C,"Germany",'MAIN DATA, Orders'!$N:$N,"Sondervermögen",'MAIN DATA, Orders'!$G:$G,"Ammunition",'MAIN DATA, Orders'!$Q:$Q,$A25)/1000000000)</f>
        <v>0</v>
      </c>
      <c r="E25" s="61">
        <f>(SUMIFS('MAIN DATA, Orders'!$M:$M,'MAIN DATA, Orders'!$C:$C,"Germany",'MAIN DATA, Orders'!$N:$N,"Einzelplan 60",'MAIN DATA, Orders'!$G:$G,"Ammunition",'MAIN DATA, Orders'!$Q:$Q,$A25)/1000000000)</f>
        <v>0</v>
      </c>
    </row>
    <row r="26" spans="1:5">
      <c r="A26" s="72">
        <v>20</v>
      </c>
      <c r="B26" s="68">
        <v>44409</v>
      </c>
      <c r="C26" s="61">
        <f>(SUMIFS('MAIN DATA, Orders'!$M:$M,'MAIN DATA, Orders'!$C:$C,"Germany",'MAIN DATA, Orders'!$N:$N,"Einzelplan 14",'MAIN DATA, Orders'!$G:$G,"Ammunition",'MAIN DATA, Orders'!$Q:$Q,$A26)/1000000000)</f>
        <v>0</v>
      </c>
      <c r="D26" s="61">
        <f>(SUMIFS('MAIN DATA, Orders'!$M:$M,'MAIN DATA, Orders'!$C:$C,"Germany",'MAIN DATA, Orders'!$N:$N,"Sondervermögen",'MAIN DATA, Orders'!$G:$G,"Ammunition",'MAIN DATA, Orders'!$Q:$Q,$A26)/1000000000)</f>
        <v>0</v>
      </c>
      <c r="E26" s="61">
        <f>(SUMIFS('MAIN DATA, Orders'!$M:$M,'MAIN DATA, Orders'!$C:$C,"Germany",'MAIN DATA, Orders'!$N:$N,"Einzelplan 60",'MAIN DATA, Orders'!$G:$G,"Ammunition",'MAIN DATA, Orders'!$Q:$Q,$A26)/1000000000)</f>
        <v>0</v>
      </c>
    </row>
    <row r="27" spans="1:5">
      <c r="A27" s="72">
        <v>21</v>
      </c>
      <c r="B27" s="68">
        <v>44440</v>
      </c>
      <c r="C27" s="61">
        <f>(SUMIFS('MAIN DATA, Orders'!$M:$M,'MAIN DATA, Orders'!$C:$C,"Germany",'MAIN DATA, Orders'!$N:$N,"Einzelplan 14",'MAIN DATA, Orders'!$G:$G,"Ammunition",'MAIN DATA, Orders'!$Q:$Q,$A27)/1000000000)</f>
        <v>0</v>
      </c>
      <c r="D27" s="61">
        <f>(SUMIFS('MAIN DATA, Orders'!$M:$M,'MAIN DATA, Orders'!$C:$C,"Germany",'MAIN DATA, Orders'!$N:$N,"Sondervermögen",'MAIN DATA, Orders'!$G:$G,"Ammunition",'MAIN DATA, Orders'!$Q:$Q,$A27)/1000000000)</f>
        <v>0</v>
      </c>
      <c r="E27" s="61">
        <f>(SUMIFS('MAIN DATA, Orders'!$M:$M,'MAIN DATA, Orders'!$C:$C,"Germany",'MAIN DATA, Orders'!$N:$N,"Einzelplan 60",'MAIN DATA, Orders'!$G:$G,"Ammunition",'MAIN DATA, Orders'!$Q:$Q,$A27)/1000000000)</f>
        <v>0</v>
      </c>
    </row>
    <row r="28" spans="1:5">
      <c r="A28" s="72">
        <v>22</v>
      </c>
      <c r="B28" s="68">
        <v>44470</v>
      </c>
      <c r="C28" s="61">
        <f>(SUMIFS('MAIN DATA, Orders'!$M:$M,'MAIN DATA, Orders'!$C:$C,"Germany",'MAIN DATA, Orders'!$N:$N,"Einzelplan 14",'MAIN DATA, Orders'!$G:$G,"Ammunition",'MAIN DATA, Orders'!$Q:$Q,$A28)/1000000000)</f>
        <v>0</v>
      </c>
      <c r="D28" s="61">
        <f>(SUMIFS('MAIN DATA, Orders'!$M:$M,'MAIN DATA, Orders'!$C:$C,"Germany",'MAIN DATA, Orders'!$N:$N,"Sondervermögen",'MAIN DATA, Orders'!$G:$G,"Ammunition",'MAIN DATA, Orders'!$Q:$Q,$A28)/1000000000)</f>
        <v>0</v>
      </c>
      <c r="E28" s="61">
        <f>(SUMIFS('MAIN DATA, Orders'!$M:$M,'MAIN DATA, Orders'!$C:$C,"Germany",'MAIN DATA, Orders'!$N:$N,"Einzelplan 60",'MAIN DATA, Orders'!$G:$G,"Ammunition",'MAIN DATA, Orders'!$Q:$Q,$A28)/1000000000)</f>
        <v>0</v>
      </c>
    </row>
    <row r="29" spans="1:5">
      <c r="A29" s="72">
        <v>23</v>
      </c>
      <c r="B29" s="68">
        <v>44501</v>
      </c>
      <c r="C29" s="61">
        <f>(SUMIFS('MAIN DATA, Orders'!$M:$M,'MAIN DATA, Orders'!$C:$C,"Germany",'MAIN DATA, Orders'!$N:$N,"Einzelplan 14",'MAIN DATA, Orders'!$G:$G,"Ammunition",'MAIN DATA, Orders'!$Q:$Q,$A29)/1000000000)</f>
        <v>0</v>
      </c>
      <c r="D29" s="61">
        <f>(SUMIFS('MAIN DATA, Orders'!$M:$M,'MAIN DATA, Orders'!$C:$C,"Germany",'MAIN DATA, Orders'!$N:$N,"Sondervermögen",'MAIN DATA, Orders'!$G:$G,"Ammunition",'MAIN DATA, Orders'!$Q:$Q,$A29)/1000000000)</f>
        <v>0</v>
      </c>
      <c r="E29" s="61">
        <f>(SUMIFS('MAIN DATA, Orders'!$M:$M,'MAIN DATA, Orders'!$C:$C,"Germany",'MAIN DATA, Orders'!$N:$N,"Einzelplan 60",'MAIN DATA, Orders'!$G:$G,"Ammunition",'MAIN DATA, Orders'!$Q:$Q,$A29)/1000000000)</f>
        <v>0</v>
      </c>
    </row>
    <row r="30" spans="1:5">
      <c r="A30" s="72">
        <v>24</v>
      </c>
      <c r="B30" s="68">
        <v>44531</v>
      </c>
      <c r="C30" s="61">
        <f>(SUMIFS('MAIN DATA, Orders'!$M:$M,'MAIN DATA, Orders'!$C:$C,"Germany",'MAIN DATA, Orders'!$N:$N,"Einzelplan 14",'MAIN DATA, Orders'!$G:$G,"Ammunition",'MAIN DATA, Orders'!$Q:$Q,$A30)/1000000000)</f>
        <v>0</v>
      </c>
      <c r="D30" s="61">
        <f>(SUMIFS('MAIN DATA, Orders'!$M:$M,'MAIN DATA, Orders'!$C:$C,"Germany",'MAIN DATA, Orders'!$N:$N,"Sondervermögen",'MAIN DATA, Orders'!$G:$G,"Ammunition",'MAIN DATA, Orders'!$Q:$Q,$A30)/1000000000)</f>
        <v>0</v>
      </c>
      <c r="E30" s="61">
        <f>(SUMIFS('MAIN DATA, Orders'!$M:$M,'MAIN DATA, Orders'!$C:$C,"Germany",'MAIN DATA, Orders'!$N:$N,"Einzelplan 60",'MAIN DATA, Orders'!$G:$G,"Ammunition",'MAIN DATA, Orders'!$Q:$Q,$A30)/1000000000)</f>
        <v>0</v>
      </c>
    </row>
    <row r="31" spans="1:5">
      <c r="A31" s="72">
        <v>25</v>
      </c>
      <c r="B31" s="68">
        <v>44562</v>
      </c>
      <c r="C31" s="61">
        <f>(SUMIFS('MAIN DATA, Orders'!$M:$M,'MAIN DATA, Orders'!$C:$C,"Germany",'MAIN DATA, Orders'!$N:$N,"Einzelplan 14",'MAIN DATA, Orders'!$G:$G,"Ammunition",'MAIN DATA, Orders'!$Q:$Q,$A31)/1000000000)</f>
        <v>0</v>
      </c>
      <c r="D31" s="61">
        <f>(SUMIFS('MAIN DATA, Orders'!$M:$M,'MAIN DATA, Orders'!$C:$C,"Germany",'MAIN DATA, Orders'!$N:$N,"Sondervermögen",'MAIN DATA, Orders'!$G:$G,"Ammunition",'MAIN DATA, Orders'!$Q:$Q,$A31)/1000000000)</f>
        <v>0</v>
      </c>
      <c r="E31" s="61">
        <f>(SUMIFS('MAIN DATA, Orders'!$M:$M,'MAIN DATA, Orders'!$C:$C,"Germany",'MAIN DATA, Orders'!$N:$N,"Einzelplan 60",'MAIN DATA, Orders'!$G:$G,"Ammunition",'MAIN DATA, Orders'!$Q:$Q,$A31)/1000000000)</f>
        <v>0</v>
      </c>
    </row>
    <row r="32" spans="1:5">
      <c r="A32" s="72">
        <v>26</v>
      </c>
      <c r="B32" s="68">
        <v>44593</v>
      </c>
      <c r="C32" s="61">
        <f>(SUMIFS('MAIN DATA, Orders'!$M:$M,'MAIN DATA, Orders'!$C:$C,"Germany",'MAIN DATA, Orders'!$N:$N,"Einzelplan 14",'MAIN DATA, Orders'!$G:$G,"Ammunition",'MAIN DATA, Orders'!$Q:$Q,$A32)/1000000000)</f>
        <v>0</v>
      </c>
      <c r="D32" s="61">
        <f>(SUMIFS('MAIN DATA, Orders'!$M:$M,'MAIN DATA, Orders'!$C:$C,"Germany",'MAIN DATA, Orders'!$N:$N,"Sondervermögen",'MAIN DATA, Orders'!$G:$G,"Ammunition",'MAIN DATA, Orders'!$Q:$Q,$A32)/1000000000)</f>
        <v>0</v>
      </c>
      <c r="E32" s="61">
        <f>(SUMIFS('MAIN DATA, Orders'!$M:$M,'MAIN DATA, Orders'!$C:$C,"Germany",'MAIN DATA, Orders'!$N:$N,"Einzelplan 60",'MAIN DATA, Orders'!$G:$G,"Ammunition",'MAIN DATA, Orders'!$Q:$Q,$A32)/1000000000)</f>
        <v>0</v>
      </c>
    </row>
    <row r="33" spans="1:5">
      <c r="A33" s="72">
        <v>27</v>
      </c>
      <c r="B33" s="68">
        <v>44621</v>
      </c>
      <c r="C33" s="61">
        <f>(SUMIFS('MAIN DATA, Orders'!$M:$M,'MAIN DATA, Orders'!$C:$C,"Germany",'MAIN DATA, Orders'!$N:$N,"Einzelplan 14",'MAIN DATA, Orders'!$G:$G,"Ammunition",'MAIN DATA, Orders'!$Q:$Q,$A33)/1000000000)</f>
        <v>0</v>
      </c>
      <c r="D33" s="61">
        <f>(SUMIFS('MAIN DATA, Orders'!$M:$M,'MAIN DATA, Orders'!$C:$C,"Germany",'MAIN DATA, Orders'!$N:$N,"Sondervermögen",'MAIN DATA, Orders'!$G:$G,"Ammunition",'MAIN DATA, Orders'!$Q:$Q,$A33)/1000000000)</f>
        <v>0</v>
      </c>
      <c r="E33" s="61">
        <f>(SUMIFS('MAIN DATA, Orders'!$M:$M,'MAIN DATA, Orders'!$C:$C,"Germany",'MAIN DATA, Orders'!$N:$N,"Einzelplan 60",'MAIN DATA, Orders'!$G:$G,"Ammunition",'MAIN DATA, Orders'!$Q:$Q,$A33)/1000000000)</f>
        <v>0</v>
      </c>
    </row>
    <row r="34" spans="1:5">
      <c r="A34" s="72">
        <v>28</v>
      </c>
      <c r="B34" s="68">
        <v>44652</v>
      </c>
      <c r="C34" s="61">
        <f>(SUMIFS('MAIN DATA, Orders'!$M:$M,'MAIN DATA, Orders'!$C:$C,"Germany",'MAIN DATA, Orders'!$N:$N,"Einzelplan 14",'MAIN DATA, Orders'!$G:$G,"Ammunition",'MAIN DATA, Orders'!$Q:$Q,$A34)/1000000000)</f>
        <v>0</v>
      </c>
      <c r="D34" s="61">
        <f>(SUMIFS('MAIN DATA, Orders'!$M:$M,'MAIN DATA, Orders'!$C:$C,"Germany",'MAIN DATA, Orders'!$N:$N,"Sondervermögen",'MAIN DATA, Orders'!$G:$G,"Ammunition",'MAIN DATA, Orders'!$Q:$Q,$A34)/1000000000)</f>
        <v>0</v>
      </c>
      <c r="E34" s="61">
        <f>(SUMIFS('MAIN DATA, Orders'!$M:$M,'MAIN DATA, Orders'!$C:$C,"Germany",'MAIN DATA, Orders'!$N:$N,"Einzelplan 60",'MAIN DATA, Orders'!$G:$G,"Ammunition",'MAIN DATA, Orders'!$Q:$Q,$A34)/1000000000)</f>
        <v>0</v>
      </c>
    </row>
    <row r="35" spans="1:5">
      <c r="A35" s="72">
        <v>29</v>
      </c>
      <c r="B35" s="68">
        <v>44682</v>
      </c>
      <c r="C35" s="61">
        <f>(SUMIFS('MAIN DATA, Orders'!$M:$M,'MAIN DATA, Orders'!$C:$C,"Germany",'MAIN DATA, Orders'!$N:$N,"Einzelplan 14",'MAIN DATA, Orders'!$G:$G,"Ammunition",'MAIN DATA, Orders'!$Q:$Q,$A35)/1000000000)</f>
        <v>0</v>
      </c>
      <c r="D35" s="61">
        <f>(SUMIFS('MAIN DATA, Orders'!$M:$M,'MAIN DATA, Orders'!$C:$C,"Germany",'MAIN DATA, Orders'!$N:$N,"Sondervermögen",'MAIN DATA, Orders'!$G:$G,"Ammunition",'MAIN DATA, Orders'!$Q:$Q,$A35)/1000000000)</f>
        <v>0</v>
      </c>
      <c r="E35" s="61">
        <f>(SUMIFS('MAIN DATA, Orders'!$M:$M,'MAIN DATA, Orders'!$C:$C,"Germany",'MAIN DATA, Orders'!$N:$N,"Einzelplan 60",'MAIN DATA, Orders'!$G:$G,"Ammunition",'MAIN DATA, Orders'!$Q:$Q,$A35)/1000000000)</f>
        <v>0</v>
      </c>
    </row>
    <row r="36" spans="1:5">
      <c r="A36" s="72">
        <v>30</v>
      </c>
      <c r="B36" s="68">
        <v>44713</v>
      </c>
      <c r="C36" s="61">
        <f>(SUMIFS('MAIN DATA, Orders'!$M:$M,'MAIN DATA, Orders'!$C:$C,"Germany",'MAIN DATA, Orders'!$N:$N,"Einzelplan 14",'MAIN DATA, Orders'!$G:$G,"Ammunition",'MAIN DATA, Orders'!$Q:$Q,$A36)/1000000000)</f>
        <v>0</v>
      </c>
      <c r="D36" s="61">
        <f>(SUMIFS('MAIN DATA, Orders'!$M:$M,'MAIN DATA, Orders'!$C:$C,"Germany",'MAIN DATA, Orders'!$N:$N,"Sondervermögen",'MAIN DATA, Orders'!$G:$G,"Ammunition",'MAIN DATA, Orders'!$Q:$Q,$A36)/1000000000)</f>
        <v>0</v>
      </c>
      <c r="E36" s="61">
        <f>(SUMIFS('MAIN DATA, Orders'!$M:$M,'MAIN DATA, Orders'!$C:$C,"Germany",'MAIN DATA, Orders'!$N:$N,"Einzelplan 60",'MAIN DATA, Orders'!$G:$G,"Ammunition",'MAIN DATA, Orders'!$Q:$Q,$A36)/1000000000)</f>
        <v>0</v>
      </c>
    </row>
    <row r="37" spans="1:5">
      <c r="A37" s="72">
        <v>31</v>
      </c>
      <c r="B37" s="68">
        <v>44743</v>
      </c>
      <c r="C37" s="61">
        <f>(SUMIFS('MAIN DATA, Orders'!$M:$M,'MAIN DATA, Orders'!$C:$C,"Germany",'MAIN DATA, Orders'!$N:$N,"Einzelplan 14",'MAIN DATA, Orders'!$G:$G,"Ammunition",'MAIN DATA, Orders'!$Q:$Q,$A37)/1000000000)</f>
        <v>4.2099999999999999E-2</v>
      </c>
      <c r="D37" s="61">
        <f>(SUMIFS('MAIN DATA, Orders'!$M:$M,'MAIN DATA, Orders'!$C:$C,"Germany",'MAIN DATA, Orders'!$N:$N,"Sondervermögen",'MAIN DATA, Orders'!$G:$G,"Ammunition",'MAIN DATA, Orders'!$Q:$Q,$A37)/1000000000)</f>
        <v>0</v>
      </c>
      <c r="E37" s="61">
        <f>(SUMIFS('MAIN DATA, Orders'!$M:$M,'MAIN DATA, Orders'!$C:$C,"Germany",'MAIN DATA, Orders'!$N:$N,"Einzelplan 60",'MAIN DATA, Orders'!$G:$G,"Ammunition",'MAIN DATA, Orders'!$Q:$Q,$A37)/1000000000)</f>
        <v>0</v>
      </c>
    </row>
    <row r="38" spans="1:5">
      <c r="A38" s="72">
        <v>32</v>
      </c>
      <c r="B38" s="68">
        <v>44774</v>
      </c>
      <c r="C38" s="61">
        <f>(SUMIFS('MAIN DATA, Orders'!$M:$M,'MAIN DATA, Orders'!$C:$C,"Germany",'MAIN DATA, Orders'!$N:$N,"Einzelplan 14",'MAIN DATA, Orders'!$G:$G,"Ammunition",'MAIN DATA, Orders'!$Q:$Q,$A38)/1000000000)</f>
        <v>0</v>
      </c>
      <c r="D38" s="61">
        <f>(SUMIFS('MAIN DATA, Orders'!$M:$M,'MAIN DATA, Orders'!$C:$C,"Germany",'MAIN DATA, Orders'!$N:$N,"Sondervermögen",'MAIN DATA, Orders'!$G:$G,"Ammunition",'MAIN DATA, Orders'!$Q:$Q,$A38)/1000000000)</f>
        <v>0</v>
      </c>
      <c r="E38" s="61">
        <f>(SUMIFS('MAIN DATA, Orders'!$M:$M,'MAIN DATA, Orders'!$C:$C,"Germany",'MAIN DATA, Orders'!$N:$N,"Einzelplan 60",'MAIN DATA, Orders'!$G:$G,"Ammunition",'MAIN DATA, Orders'!$Q:$Q,$A38)/1000000000)</f>
        <v>0</v>
      </c>
    </row>
    <row r="39" spans="1:5">
      <c r="A39" s="72">
        <v>33</v>
      </c>
      <c r="B39" s="68">
        <v>44805</v>
      </c>
      <c r="C39" s="61">
        <f>(SUMIFS('MAIN DATA, Orders'!$M:$M,'MAIN DATA, Orders'!$C:$C,"Germany",'MAIN DATA, Orders'!$N:$N,"Einzelplan 14",'MAIN DATA, Orders'!$G:$G,"Ammunition",'MAIN DATA, Orders'!$Q:$Q,$A39)/1000000000)</f>
        <v>0</v>
      </c>
      <c r="D39" s="61">
        <f>(SUMIFS('MAIN DATA, Orders'!$M:$M,'MAIN DATA, Orders'!$C:$C,"Germany",'MAIN DATA, Orders'!$N:$N,"Sondervermögen",'MAIN DATA, Orders'!$G:$G,"Ammunition",'MAIN DATA, Orders'!$Q:$Q,$A39)/1000000000)</f>
        <v>0</v>
      </c>
      <c r="E39" s="61">
        <f>(SUMIFS('MAIN DATA, Orders'!$M:$M,'MAIN DATA, Orders'!$C:$C,"Germany",'MAIN DATA, Orders'!$N:$N,"Einzelplan 60",'MAIN DATA, Orders'!$G:$G,"Ammunition",'MAIN DATA, Orders'!$Q:$Q,$A39)/1000000000)</f>
        <v>0</v>
      </c>
    </row>
    <row r="40" spans="1:5">
      <c r="A40" s="72">
        <v>34</v>
      </c>
      <c r="B40" s="68">
        <v>44835</v>
      </c>
      <c r="C40" s="61">
        <f>(SUMIFS('MAIN DATA, Orders'!$M:$M,'MAIN DATA, Orders'!$C:$C,"Germany",'MAIN DATA, Orders'!$N:$N,"Einzelplan 14",'MAIN DATA, Orders'!$G:$G,"Ammunition",'MAIN DATA, Orders'!$Q:$Q,$A40)/1000000000)</f>
        <v>0</v>
      </c>
      <c r="D40" s="61">
        <f>(SUMIFS('MAIN DATA, Orders'!$M:$M,'MAIN DATA, Orders'!$C:$C,"Germany",'MAIN DATA, Orders'!$N:$N,"Sondervermögen",'MAIN DATA, Orders'!$G:$G,"Ammunition",'MAIN DATA, Orders'!$Q:$Q,$A40)/1000000000)</f>
        <v>0</v>
      </c>
      <c r="E40" s="61">
        <f>(SUMIFS('MAIN DATA, Orders'!$M:$M,'MAIN DATA, Orders'!$C:$C,"Germany",'MAIN DATA, Orders'!$N:$N,"Einzelplan 60",'MAIN DATA, Orders'!$G:$G,"Ammunition",'MAIN DATA, Orders'!$Q:$Q,$A40)/1000000000)</f>
        <v>0</v>
      </c>
    </row>
    <row r="41" spans="1:5">
      <c r="A41" s="72">
        <v>35</v>
      </c>
      <c r="B41" s="68">
        <v>44866</v>
      </c>
      <c r="C41" s="61">
        <f>(SUMIFS('MAIN DATA, Orders'!$M:$M,'MAIN DATA, Orders'!$C:$C,"Germany",'MAIN DATA, Orders'!$N:$N,"Einzelplan 14",'MAIN DATA, Orders'!$G:$G,"Ammunition",'MAIN DATA, Orders'!$Q:$Q,$A41)/1000000000)</f>
        <v>0</v>
      </c>
      <c r="D41" s="61">
        <f>(SUMIFS('MAIN DATA, Orders'!$M:$M,'MAIN DATA, Orders'!$C:$C,"Germany",'MAIN DATA, Orders'!$N:$N,"Sondervermögen",'MAIN DATA, Orders'!$G:$G,"Ammunition",'MAIN DATA, Orders'!$Q:$Q,$A41)/1000000000)</f>
        <v>0</v>
      </c>
      <c r="E41" s="61">
        <f>(SUMIFS('MAIN DATA, Orders'!$M:$M,'MAIN DATA, Orders'!$C:$C,"Germany",'MAIN DATA, Orders'!$N:$N,"Einzelplan 60",'MAIN DATA, Orders'!$G:$G,"Ammunition",'MAIN DATA, Orders'!$Q:$Q,$A41)/1000000000)</f>
        <v>0</v>
      </c>
    </row>
    <row r="42" spans="1:5">
      <c r="A42" s="72">
        <v>36</v>
      </c>
      <c r="B42" s="68">
        <v>44896</v>
      </c>
      <c r="C42" s="61">
        <f>(SUMIFS('MAIN DATA, Orders'!$M:$M,'MAIN DATA, Orders'!$C:$C,"Germany",'MAIN DATA, Orders'!$N:$N,"Einzelplan 14",'MAIN DATA, Orders'!$G:$G,"Ammunition",'MAIN DATA, Orders'!$Q:$Q,$A42)/1000000000)</f>
        <v>0</v>
      </c>
      <c r="D42" s="61">
        <f>(SUMIFS('MAIN DATA, Orders'!$M:$M,'MAIN DATA, Orders'!$C:$C,"Germany",'MAIN DATA, Orders'!$N:$N,"Sondervermögen",'MAIN DATA, Orders'!$G:$G,"Ammunition",'MAIN DATA, Orders'!$Q:$Q,$A42)/1000000000)</f>
        <v>0</v>
      </c>
      <c r="E42" s="61">
        <f>(SUMIFS('MAIN DATA, Orders'!$M:$M,'MAIN DATA, Orders'!$C:$C,"Germany",'MAIN DATA, Orders'!$N:$N,"Einzelplan 60",'MAIN DATA, Orders'!$G:$G,"Ammunition",'MAIN DATA, Orders'!$Q:$Q,$A42)/1000000000)</f>
        <v>0</v>
      </c>
    </row>
    <row r="43" spans="1:5">
      <c r="A43" s="72">
        <v>37</v>
      </c>
      <c r="B43" s="68">
        <v>44927</v>
      </c>
      <c r="C43" s="61">
        <f>(SUMIFS('MAIN DATA, Orders'!$M:$M,'MAIN DATA, Orders'!$C:$C,"Germany",'MAIN DATA, Orders'!$N:$N,"Einzelplan 14",'MAIN DATA, Orders'!$G:$G,"Ammunition",'MAIN DATA, Orders'!$Q:$Q,$A43)/1000000000)</f>
        <v>0</v>
      </c>
      <c r="D43" s="61">
        <f>(SUMIFS('MAIN DATA, Orders'!$M:$M,'MAIN DATA, Orders'!$C:$C,"Germany",'MAIN DATA, Orders'!$N:$N,"Sondervermögen",'MAIN DATA, Orders'!$G:$G,"Ammunition",'MAIN DATA, Orders'!$Q:$Q,$A43)/1000000000)</f>
        <v>0</v>
      </c>
      <c r="E43" s="61">
        <f>(SUMIFS('MAIN DATA, Orders'!$M:$M,'MAIN DATA, Orders'!$C:$C,"Germany",'MAIN DATA, Orders'!$N:$N,"Einzelplan 60",'MAIN DATA, Orders'!$G:$G,"Ammunition",'MAIN DATA, Orders'!$Q:$Q,$A43)/1000000000)</f>
        <v>0</v>
      </c>
    </row>
    <row r="44" spans="1:5">
      <c r="A44" s="72">
        <v>38</v>
      </c>
      <c r="B44" s="68">
        <v>44958</v>
      </c>
      <c r="C44" s="61">
        <f>(SUMIFS('MAIN DATA, Orders'!$M:$M,'MAIN DATA, Orders'!$C:$C,"Germany",'MAIN DATA, Orders'!$N:$N,"Einzelplan 14",'MAIN DATA, Orders'!$G:$G,"Ammunition",'MAIN DATA, Orders'!$Q:$Q,$A44)/1000000000)</f>
        <v>0</v>
      </c>
      <c r="D44" s="61">
        <f>(SUMIFS('MAIN DATA, Orders'!$M:$M,'MAIN DATA, Orders'!$C:$C,"Germany",'MAIN DATA, Orders'!$N:$N,"Sondervermögen",'MAIN DATA, Orders'!$G:$G,"Ammunition",'MAIN DATA, Orders'!$Q:$Q,$A44)/1000000000)</f>
        <v>0</v>
      </c>
      <c r="E44" s="61">
        <f>(SUMIFS('MAIN DATA, Orders'!$M:$M,'MAIN DATA, Orders'!$C:$C,"Germany",'MAIN DATA, Orders'!$N:$N,"Einzelplan 60",'MAIN DATA, Orders'!$G:$G,"Ammunition",'MAIN DATA, Orders'!$Q:$Q,$A44)/1000000000)</f>
        <v>0.16800000000000001</v>
      </c>
    </row>
    <row r="45" spans="1:5">
      <c r="A45" s="72">
        <v>39</v>
      </c>
      <c r="B45" s="68">
        <v>44986</v>
      </c>
      <c r="C45" s="61">
        <f>(SUMIFS('MAIN DATA, Orders'!$M:$M,'MAIN DATA, Orders'!$C:$C,"Germany",'MAIN DATA, Orders'!$N:$N,"Einzelplan 14",'MAIN DATA, Orders'!$G:$G,"Ammunition",'MAIN DATA, Orders'!$Q:$Q,$A45)/1000000000)</f>
        <v>0</v>
      </c>
      <c r="D45" s="61">
        <f>(SUMIFS('MAIN DATA, Orders'!$M:$M,'MAIN DATA, Orders'!$C:$C,"Germany",'MAIN DATA, Orders'!$N:$N,"Sondervermögen",'MAIN DATA, Orders'!$G:$G,"Ammunition",'MAIN DATA, Orders'!$Q:$Q,$A45)/1000000000)</f>
        <v>0</v>
      </c>
      <c r="E45" s="61">
        <f>(SUMIFS('MAIN DATA, Orders'!$M:$M,'MAIN DATA, Orders'!$C:$C,"Germany",'MAIN DATA, Orders'!$N:$N,"Einzelplan 60",'MAIN DATA, Orders'!$G:$G,"Ammunition",'MAIN DATA, Orders'!$Q:$Q,$A45)/1000000000)</f>
        <v>0</v>
      </c>
    </row>
    <row r="46" spans="1:5">
      <c r="A46" s="72">
        <v>40</v>
      </c>
      <c r="B46" s="68">
        <v>45017</v>
      </c>
      <c r="C46" s="61">
        <f>(SUMIFS('MAIN DATA, Orders'!$M:$M,'MAIN DATA, Orders'!$C:$C,"Germany",'MAIN DATA, Orders'!$N:$N,"Einzelplan 14",'MAIN DATA, Orders'!$G:$G,"Ammunition",'MAIN DATA, Orders'!$Q:$Q,$A46)/1000000000)</f>
        <v>0</v>
      </c>
      <c r="D46" s="61">
        <f>(SUMIFS('MAIN DATA, Orders'!$M:$M,'MAIN DATA, Orders'!$C:$C,"Germany",'MAIN DATA, Orders'!$N:$N,"Sondervermögen",'MAIN DATA, Orders'!$G:$G,"Ammunition",'MAIN DATA, Orders'!$Q:$Q,$A46)/1000000000)</f>
        <v>0</v>
      </c>
      <c r="E46" s="61">
        <f>(SUMIFS('MAIN DATA, Orders'!$M:$M,'MAIN DATA, Orders'!$C:$C,"Germany",'MAIN DATA, Orders'!$N:$N,"Einzelplan 60",'MAIN DATA, Orders'!$G:$G,"Ammunition",'MAIN DATA, Orders'!$Q:$Q,$A46)/1000000000)</f>
        <v>0</v>
      </c>
    </row>
    <row r="47" spans="1:5">
      <c r="A47" s="72">
        <v>41</v>
      </c>
      <c r="B47" s="68">
        <v>45047</v>
      </c>
      <c r="C47" s="61">
        <f>(SUMIFS('MAIN DATA, Orders'!$M:$M,'MAIN DATA, Orders'!$C:$C,"Germany",'MAIN DATA, Orders'!$N:$N,"Einzelplan 14",'MAIN DATA, Orders'!$G:$G,"Ammunition",'MAIN DATA, Orders'!$Q:$Q,$A47)/1000000000)</f>
        <v>0</v>
      </c>
      <c r="D47" s="61">
        <f>(SUMIFS('MAIN DATA, Orders'!$M:$M,'MAIN DATA, Orders'!$C:$C,"Germany",'MAIN DATA, Orders'!$N:$N,"Sondervermögen",'MAIN DATA, Orders'!$G:$G,"Ammunition",'MAIN DATA, Orders'!$Q:$Q,$A47)/1000000000)</f>
        <v>0</v>
      </c>
      <c r="E47" s="61">
        <f>(SUMIFS('MAIN DATA, Orders'!$M:$M,'MAIN DATA, Orders'!$C:$C,"Germany",'MAIN DATA, Orders'!$N:$N,"Einzelplan 60",'MAIN DATA, Orders'!$G:$G,"Ammunition",'MAIN DATA, Orders'!$Q:$Q,$A47)/1000000000)</f>
        <v>0</v>
      </c>
    </row>
    <row r="48" spans="1:5">
      <c r="A48" s="72">
        <v>42</v>
      </c>
      <c r="B48" s="68">
        <v>45078</v>
      </c>
      <c r="C48" s="61">
        <f>(SUMIFS('MAIN DATA, Orders'!$M:$M,'MAIN DATA, Orders'!$C:$C,"Germany",'MAIN DATA, Orders'!$N:$N,"Einzelplan 14",'MAIN DATA, Orders'!$G:$G,"Ammunition",'MAIN DATA, Orders'!$Q:$Q,$A48)/1000000000)</f>
        <v>0</v>
      </c>
      <c r="D48" s="61">
        <f>(SUMIFS('MAIN DATA, Orders'!$M:$M,'MAIN DATA, Orders'!$C:$C,"Germany",'MAIN DATA, Orders'!$N:$N,"Sondervermögen",'MAIN DATA, Orders'!$G:$G,"Ammunition",'MAIN DATA, Orders'!$Q:$Q,$A48)/1000000000)</f>
        <v>0</v>
      </c>
      <c r="E48" s="61">
        <f>(SUMIFS('MAIN DATA, Orders'!$M:$M,'MAIN DATA, Orders'!$C:$C,"Germany",'MAIN DATA, Orders'!$N:$N,"Einzelplan 60",'MAIN DATA, Orders'!$G:$G,"Ammunition",'MAIN DATA, Orders'!$Q:$Q,$A48)/1000000000)</f>
        <v>0</v>
      </c>
    </row>
    <row r="49" spans="1:5">
      <c r="A49" s="72">
        <v>43</v>
      </c>
      <c r="B49" s="68">
        <v>45108</v>
      </c>
      <c r="C49" s="61">
        <f>(SUMIFS('MAIN DATA, Orders'!$M:$M,'MAIN DATA, Orders'!$C:$C,"Germany",'MAIN DATA, Orders'!$N:$N,"Einzelplan 14",'MAIN DATA, Orders'!$G:$G,"Ammunition",'MAIN DATA, Orders'!$Q:$Q,$A49)/1000000000)</f>
        <v>9.4899999999999998E-2</v>
      </c>
      <c r="D49" s="61">
        <f>(SUMIFS('MAIN DATA, Orders'!$M:$M,'MAIN DATA, Orders'!$C:$C,"Germany",'MAIN DATA, Orders'!$N:$N,"Sondervermögen",'MAIN DATA, Orders'!$G:$G,"Ammunition",'MAIN DATA, Orders'!$Q:$Q,$A49)/1000000000)</f>
        <v>0</v>
      </c>
      <c r="E49" s="61">
        <f>(SUMIFS('MAIN DATA, Orders'!$M:$M,'MAIN DATA, Orders'!$C:$C,"Germany",'MAIN DATA, Orders'!$N:$N,"Einzelplan 60",'MAIN DATA, Orders'!$G:$G,"Ammunition",'MAIN DATA, Orders'!$Q:$Q,$A49)/1000000000)</f>
        <v>0.50900000000000001</v>
      </c>
    </row>
    <row r="50" spans="1:5">
      <c r="A50" s="72">
        <v>44</v>
      </c>
      <c r="B50" s="68">
        <v>45139</v>
      </c>
      <c r="C50" s="61">
        <f>(SUMIFS('MAIN DATA, Orders'!$M:$M,'MAIN DATA, Orders'!$C:$C,"Germany",'MAIN DATA, Orders'!$N:$N,"Einzelplan 14",'MAIN DATA, Orders'!$G:$G,"Ammunition",'MAIN DATA, Orders'!$Q:$Q,$A50)/1000000000)</f>
        <v>0</v>
      </c>
      <c r="D50" s="61">
        <f>(SUMIFS('MAIN DATA, Orders'!$M:$M,'MAIN DATA, Orders'!$C:$C,"Germany",'MAIN DATA, Orders'!$N:$N,"Sondervermögen",'MAIN DATA, Orders'!$G:$G,"Ammunition",'MAIN DATA, Orders'!$Q:$Q,$A50)/1000000000)</f>
        <v>0</v>
      </c>
      <c r="E50" s="61">
        <f>(SUMIFS('MAIN DATA, Orders'!$M:$M,'MAIN DATA, Orders'!$C:$C,"Germany",'MAIN DATA, Orders'!$N:$N,"Einzelplan 60",'MAIN DATA, Orders'!$G:$G,"Ammunition",'MAIN DATA, Orders'!$Q:$Q,$A50)/1000000000)</f>
        <v>0</v>
      </c>
    </row>
    <row r="51" spans="1:5">
      <c r="A51" s="72">
        <v>45</v>
      </c>
      <c r="B51" s="68">
        <v>45170</v>
      </c>
      <c r="C51" s="61">
        <f>(SUMIFS('MAIN DATA, Orders'!$M:$M,'MAIN DATA, Orders'!$C:$C,"Germany",'MAIN DATA, Orders'!$N:$N,"Einzelplan 14",'MAIN DATA, Orders'!$G:$G,"Ammunition",'MAIN DATA, Orders'!$Q:$Q,$A51)/1000000000)</f>
        <v>0</v>
      </c>
      <c r="D51" s="61">
        <f>(SUMIFS('MAIN DATA, Orders'!$M:$M,'MAIN DATA, Orders'!$C:$C,"Germany",'MAIN DATA, Orders'!$N:$N,"Sondervermögen",'MAIN DATA, Orders'!$G:$G,"Ammunition",'MAIN DATA, Orders'!$Q:$Q,$A51)/1000000000)</f>
        <v>0</v>
      </c>
      <c r="E51" s="61">
        <f>(SUMIFS('MAIN DATA, Orders'!$M:$M,'MAIN DATA, Orders'!$C:$C,"Germany",'MAIN DATA, Orders'!$N:$N,"Einzelplan 60",'MAIN DATA, Orders'!$G:$G,"Ammunition",'MAIN DATA, Orders'!$Q:$Q,$A51)/1000000000)</f>
        <v>0</v>
      </c>
    </row>
    <row r="52" spans="1:5">
      <c r="A52" s="72">
        <v>46</v>
      </c>
      <c r="B52" s="68">
        <v>45200</v>
      </c>
      <c r="C52" s="61">
        <f>(SUMIFS('MAIN DATA, Orders'!$M:$M,'MAIN DATA, Orders'!$C:$C,"Germany",'MAIN DATA, Orders'!$N:$N,"Einzelplan 14",'MAIN DATA, Orders'!$G:$G,"Ammunition",'MAIN DATA, Orders'!$Q:$Q,$A52)/1000000000)</f>
        <v>0</v>
      </c>
      <c r="D52" s="61">
        <f>(SUMIFS('MAIN DATA, Orders'!$M:$M,'MAIN DATA, Orders'!$C:$C,"Germany",'MAIN DATA, Orders'!$N:$N,"Sondervermögen",'MAIN DATA, Orders'!$G:$G,"Ammunition",'MAIN DATA, Orders'!$Q:$Q,$A52)/1000000000)</f>
        <v>0</v>
      </c>
      <c r="E52" s="61">
        <f>(SUMIFS('MAIN DATA, Orders'!$M:$M,'MAIN DATA, Orders'!$C:$C,"Germany",'MAIN DATA, Orders'!$N:$N,"Einzelplan 60",'MAIN DATA, Orders'!$G:$G,"Ammunition",'MAIN DATA, Orders'!$Q:$Q,$A52)/1000000000)</f>
        <v>0</v>
      </c>
    </row>
    <row r="53" spans="1:5">
      <c r="A53" s="72">
        <v>47</v>
      </c>
      <c r="B53" s="68">
        <v>45231</v>
      </c>
      <c r="C53" s="61">
        <f>(SUMIFS('MAIN DATA, Orders'!$M:$M,'MAIN DATA, Orders'!$C:$C,"Germany",'MAIN DATA, Orders'!$N:$N,"Einzelplan 14",'MAIN DATA, Orders'!$G:$G,"Ammunition",'MAIN DATA, Orders'!$Q:$Q,$A53)/1000000000)</f>
        <v>0</v>
      </c>
      <c r="D53" s="61">
        <f>(SUMIFS('MAIN DATA, Orders'!$M:$M,'MAIN DATA, Orders'!$C:$C,"Germany",'MAIN DATA, Orders'!$N:$N,"Sondervermögen",'MAIN DATA, Orders'!$G:$G,"Ammunition",'MAIN DATA, Orders'!$Q:$Q,$A53)/1000000000)</f>
        <v>0</v>
      </c>
      <c r="E53" s="61">
        <f>(SUMIFS('MAIN DATA, Orders'!$M:$M,'MAIN DATA, Orders'!$C:$C,"Germany",'MAIN DATA, Orders'!$N:$N,"Einzelplan 60",'MAIN DATA, Orders'!$G:$G,"Ammunition",'MAIN DATA, Orders'!$Q:$Q,$A53)/1000000000)</f>
        <v>0</v>
      </c>
    </row>
    <row r="54" spans="1:5">
      <c r="A54" s="72">
        <v>48</v>
      </c>
      <c r="B54" s="68">
        <v>45261</v>
      </c>
      <c r="C54" s="61">
        <f>(SUMIFS('MAIN DATA, Orders'!$M:$M,'MAIN DATA, Orders'!$C:$C,"Germany",'MAIN DATA, Orders'!$N:$N,"Einzelplan 14",'MAIN DATA, Orders'!$G:$G,"Ammunition",'MAIN DATA, Orders'!$Q:$Q,$A54)/1000000000)</f>
        <v>0</v>
      </c>
      <c r="D54" s="61">
        <f>(SUMIFS('MAIN DATA, Orders'!$M:$M,'MAIN DATA, Orders'!$C:$C,"Germany",'MAIN DATA, Orders'!$N:$N,"Sondervermögen",'MAIN DATA, Orders'!$G:$G,"Ammunition",'MAIN DATA, Orders'!$Q:$Q,$A54)/1000000000)</f>
        <v>0</v>
      </c>
      <c r="E54" s="61">
        <f>(SUMIFS('MAIN DATA, Orders'!$M:$M,'MAIN DATA, Orders'!$C:$C,"Germany",'MAIN DATA, Orders'!$N:$N,"Einzelplan 60",'MAIN DATA, Orders'!$G:$G,"Ammunition",'MAIN DATA, Orders'!$Q:$Q,$A54)/1000000000)</f>
        <v>0.27800000000000002</v>
      </c>
    </row>
    <row r="55" spans="1:5">
      <c r="A55" s="72">
        <v>49</v>
      </c>
      <c r="B55" s="68">
        <v>45292</v>
      </c>
      <c r="C55" s="61">
        <f>(SUMIFS('MAIN DATA, Orders'!$M:$M,'MAIN DATA, Orders'!$C:$C,"Germany",'MAIN DATA, Orders'!$N:$N,"Einzelplan 14",'MAIN DATA, Orders'!$G:$G,"Ammunition",'MAIN DATA, Orders'!$Q:$Q,$A55)/1000000000)</f>
        <v>0</v>
      </c>
      <c r="D55" s="61">
        <f>(SUMIFS('MAIN DATA, Orders'!$M:$M,'MAIN DATA, Orders'!$C:$C,"Germany",'MAIN DATA, Orders'!$N:$N,"Sondervermögen",'MAIN DATA, Orders'!$G:$G,"Ammunition",'MAIN DATA, Orders'!$Q:$Q,$A55)/1000000000)</f>
        <v>0</v>
      </c>
      <c r="E55" s="61">
        <f>(SUMIFS('MAIN DATA, Orders'!$M:$M,'MAIN DATA, Orders'!$C:$C,"Germany",'MAIN DATA, Orders'!$N:$N,"Einzelplan 60",'MAIN DATA, Orders'!$G:$G,"Ammunition",'MAIN DATA, Orders'!$Q:$Q,$A55)/1000000000)</f>
        <v>0</v>
      </c>
    </row>
    <row r="56" spans="1:5">
      <c r="A56" s="72">
        <v>50</v>
      </c>
      <c r="B56" s="68">
        <v>45323</v>
      </c>
      <c r="C56" s="61">
        <f>(SUMIFS('MAIN DATA, Orders'!$M:$M,'MAIN DATA, Orders'!$C:$C,"Germany",'MAIN DATA, Orders'!$N:$N,"Einzelplan 14",'MAIN DATA, Orders'!$G:$G,"Ammunition",'MAIN DATA, Orders'!$Q:$Q,$A56)/1000000000)</f>
        <v>0</v>
      </c>
      <c r="D56" s="61">
        <f>(SUMIFS('MAIN DATA, Orders'!$M:$M,'MAIN DATA, Orders'!$C:$C,"Germany",'MAIN DATA, Orders'!$N:$N,"Sondervermögen",'MAIN DATA, Orders'!$G:$G,"Ammunition",'MAIN DATA, Orders'!$Q:$Q,$A56)/1000000000)</f>
        <v>0</v>
      </c>
      <c r="E56" s="61">
        <f>(SUMIFS('MAIN DATA, Orders'!$M:$M,'MAIN DATA, Orders'!$C:$C,"Germany",'MAIN DATA, Orders'!$N:$N,"Einzelplan 60",'MAIN DATA, Orders'!$G:$G,"Ammunition",'MAIN DATA, Orders'!$Q:$Q,$A56)/1000000000)</f>
        <v>0</v>
      </c>
    </row>
    <row r="57" spans="1:5">
      <c r="A57" s="72">
        <v>51</v>
      </c>
      <c r="B57" s="68">
        <v>45352</v>
      </c>
      <c r="C57" s="61">
        <f>(SUMIFS('MAIN DATA, Orders'!$M:$M,'MAIN DATA, Orders'!$C:$C,"Germany",'MAIN DATA, Orders'!$N:$N,"Einzelplan 14",'MAIN DATA, Orders'!$G:$G,"Ammunition",'MAIN DATA, Orders'!$Q:$Q,$A57)/1000000000)</f>
        <v>0</v>
      </c>
      <c r="D57" s="61">
        <f>(SUMIFS('MAIN DATA, Orders'!$M:$M,'MAIN DATA, Orders'!$C:$C,"Germany",'MAIN DATA, Orders'!$N:$N,"Sondervermögen",'MAIN DATA, Orders'!$G:$G,"Ammunition",'MAIN DATA, Orders'!$Q:$Q,$A57)/1000000000)</f>
        <v>0</v>
      </c>
      <c r="E57" s="61">
        <f>(SUMIFS('MAIN DATA, Orders'!$M:$M,'MAIN DATA, Orders'!$C:$C,"Germany",'MAIN DATA, Orders'!$N:$N,"Einzelplan 60",'MAIN DATA, Orders'!$G:$G,"Ammunition",'MAIN DATA, Orders'!$Q:$Q,$A57)/1000000000)</f>
        <v>0</v>
      </c>
    </row>
    <row r="58" spans="1:5">
      <c r="A58" s="72">
        <v>52</v>
      </c>
      <c r="B58" s="68">
        <v>45383</v>
      </c>
      <c r="C58" s="61">
        <f>(SUMIFS('MAIN DATA, Orders'!$M:$M,'MAIN DATA, Orders'!$C:$C,"Germany",'MAIN DATA, Orders'!$N:$N,"Einzelplan 14",'MAIN DATA, Orders'!$G:$G,"Ammunition",'MAIN DATA, Orders'!$Q:$Q,$A58)/1000000000)</f>
        <v>0</v>
      </c>
      <c r="D58" s="61">
        <f>(SUMIFS('MAIN DATA, Orders'!$M:$M,'MAIN DATA, Orders'!$C:$C,"Germany",'MAIN DATA, Orders'!$N:$N,"Sondervermögen",'MAIN DATA, Orders'!$G:$G,"Ammunition",'MAIN DATA, Orders'!$Q:$Q,$A58)/1000000000)</f>
        <v>5.3999999999999999E-2</v>
      </c>
      <c r="E58" s="61">
        <f>(SUMIFS('MAIN DATA, Orders'!$M:$M,'MAIN DATA, Orders'!$C:$C,"Germany",'MAIN DATA, Orders'!$N:$N,"Einzelplan 60",'MAIN DATA, Orders'!$G:$G,"Ammunition",'MAIN DATA, Orders'!$Q:$Q,$A58)/1000000000)</f>
        <v>0</v>
      </c>
    </row>
    <row r="59" spans="1:5">
      <c r="A59" s="72">
        <v>53</v>
      </c>
      <c r="B59" s="68">
        <v>45413</v>
      </c>
      <c r="C59" s="61">
        <f>(SUMIFS('MAIN DATA, Orders'!$M:$M,'MAIN DATA, Orders'!$C:$C,"Germany",'MAIN DATA, Orders'!$N:$N,"Einzelplan 14",'MAIN DATA, Orders'!$G:$G,"Ammunition",'MAIN DATA, Orders'!$Q:$Q,$A59)/1000000000)</f>
        <v>0</v>
      </c>
      <c r="D59" s="61">
        <f>(SUMIFS('MAIN DATA, Orders'!$M:$M,'MAIN DATA, Orders'!$C:$C,"Germany",'MAIN DATA, Orders'!$N:$N,"Sondervermögen",'MAIN DATA, Orders'!$G:$G,"Ammunition",'MAIN DATA, Orders'!$Q:$Q,$A59)/1000000000)</f>
        <v>0</v>
      </c>
      <c r="E59" s="61">
        <f>(SUMIFS('MAIN DATA, Orders'!$M:$M,'MAIN DATA, Orders'!$C:$C,"Germany",'MAIN DATA, Orders'!$N:$N,"Einzelplan 60",'MAIN DATA, Orders'!$G:$G,"Ammunition",'MAIN DATA, Orders'!$Q:$Q,$A59)/1000000000)</f>
        <v>0</v>
      </c>
    </row>
    <row r="60" spans="1:5">
      <c r="A60" s="72">
        <v>54</v>
      </c>
      <c r="B60" s="68">
        <v>45444</v>
      </c>
      <c r="C60" s="61">
        <f>(SUMIFS('MAIN DATA, Orders'!$M:$M,'MAIN DATA, Orders'!$C:$C,"Germany",'MAIN DATA, Orders'!$N:$N,"Einzelplan 14",'MAIN DATA, Orders'!$G:$G,"Ammunition",'MAIN DATA, Orders'!$Q:$Q,$A60)/1000000000)</f>
        <v>0</v>
      </c>
      <c r="D60" s="61">
        <f>(SUMIFS('MAIN DATA, Orders'!$M:$M,'MAIN DATA, Orders'!$C:$C,"Germany",'MAIN DATA, Orders'!$N:$N,"Sondervermögen",'MAIN DATA, Orders'!$G:$G,"Ammunition",'MAIN DATA, Orders'!$Q:$Q,$A60)/1000000000)</f>
        <v>0.88</v>
      </c>
      <c r="E60" s="61">
        <f>(SUMIFS('MAIN DATA, Orders'!$M:$M,'MAIN DATA, Orders'!$C:$C,"Germany",'MAIN DATA, Orders'!$N:$N,"Einzelplan 60",'MAIN DATA, Orders'!$G:$G,"Ammunition",'MAIN DATA, Orders'!$Q:$Q,$A60)/1000000000)</f>
        <v>0</v>
      </c>
    </row>
    <row r="61" spans="1:5">
      <c r="A61" s="72">
        <v>55</v>
      </c>
      <c r="B61" s="155">
        <v>45474</v>
      </c>
      <c r="C61" s="159">
        <f>(SUMIFS('MAIN DATA, Orders'!$M:$M,'MAIN DATA, Orders'!$C:$C,"Germany",'MAIN DATA, Orders'!$N:$N,"Einzelplan 14",'MAIN DATA, Orders'!$G:$G,"Ammunition",'MAIN DATA, Orders'!$Q:$Q,$A61)/1000000000)</f>
        <v>0</v>
      </c>
      <c r="D61" s="159">
        <f>(SUMIFS('MAIN DATA, Orders'!$M:$M,'MAIN DATA, Orders'!$C:$C,"Germany",'MAIN DATA, Orders'!$N:$N,"Sondervermögen",'MAIN DATA, Orders'!$G:$G,"Ammunition",'MAIN DATA, Orders'!$Q:$Q,$A61)/1000000000)</f>
        <v>1.3</v>
      </c>
      <c r="E61" s="159">
        <f>(SUMIFS('MAIN DATA, Orders'!$M:$M,'MAIN DATA, Orders'!$C:$C,"Germany",'MAIN DATA, Orders'!$N:$N,"Einzelplan 60",'MAIN DATA, Orders'!$G:$G,"Ammunition",'MAIN DATA, Orders'!$Q:$Q,$A61)/1000000000)</f>
        <v>0</v>
      </c>
    </row>
    <row r="62" spans="1:5">
      <c r="A62" s="199"/>
      <c r="B62" s="199"/>
      <c r="C62" s="199"/>
      <c r="D62" s="199"/>
      <c r="E62" s="199"/>
    </row>
    <row r="63" spans="1:5">
      <c r="A63" s="199"/>
      <c r="B63" s="69" t="s">
        <v>1431</v>
      </c>
      <c r="C63" s="69">
        <f>SUM(C7:C61)</f>
        <v>0.215</v>
      </c>
      <c r="D63" s="69">
        <f>SUM(D7:D61)</f>
        <v>2.234</v>
      </c>
      <c r="E63" s="69">
        <f>SUM(E7:E61)</f>
        <v>0.95500000000000007</v>
      </c>
    </row>
  </sheetData>
  <mergeCells count="1">
    <mergeCell ref="B4:E4"/>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A5DF0-CB77-4C82-9309-0FE3850DBF04}">
  <sheetPr>
    <tabColor theme="9" tint="0.59999389629810485"/>
  </sheetPr>
  <dimension ref="A2:F63"/>
  <sheetViews>
    <sheetView workbookViewId="0"/>
  </sheetViews>
  <sheetFormatPr defaultColWidth="8.69921875" defaultRowHeight="15.6"/>
  <cols>
    <col min="1" max="1" width="8.69921875" style="1"/>
    <col min="2" max="2" width="13.5" style="1" customWidth="1"/>
    <col min="3" max="3" width="20.69921875" style="1" bestFit="1" customWidth="1"/>
    <col min="4" max="4" width="23.69921875" style="1" bestFit="1" customWidth="1"/>
    <col min="5" max="5" width="20.69921875" style="1" bestFit="1" customWidth="1"/>
    <col min="6" max="16384" width="8.69921875" style="1"/>
  </cols>
  <sheetData>
    <row r="2" spans="1:6" ht="25.2">
      <c r="B2" s="67" t="s">
        <v>1658</v>
      </c>
    </row>
    <row r="4" spans="1:6" ht="130.19999999999999" customHeight="1">
      <c r="B4" s="206" t="s">
        <v>1659</v>
      </c>
      <c r="C4" s="206"/>
      <c r="D4" s="206"/>
      <c r="E4" s="206"/>
      <c r="F4" s="206"/>
    </row>
    <row r="6" spans="1:6" ht="21" customHeight="1">
      <c r="B6" s="161" t="s">
        <v>1404</v>
      </c>
      <c r="C6" s="162" t="s">
        <v>165</v>
      </c>
      <c r="D6" s="162" t="s">
        <v>665</v>
      </c>
      <c r="E6" s="162" t="s">
        <v>784</v>
      </c>
    </row>
    <row r="7" spans="1:6">
      <c r="A7" s="72">
        <v>1</v>
      </c>
      <c r="B7" s="68">
        <v>43831</v>
      </c>
      <c r="C7" s="17">
        <f>(SUMIFS('MAIN DATA, Orders'!$I:$I,'MAIN DATA, Orders'!$C:$C,"Germany",'MAIN DATA, Orders'!$N:$N,"Einzelplan 14",'MAIN DATA, Orders'!$G:$G,"Ammunition",'MAIN DATA, Orders'!$Q:$Q,$A7))</f>
        <v>0</v>
      </c>
      <c r="D7" s="17">
        <f>(SUMIFS('MAIN DATA, Orders'!$I:$I,'MAIN DATA, Orders'!$C:$C,"Germany",'MAIN DATA, Orders'!$N:$N,"Sondervermögen",'MAIN DATA, Orders'!$G:$G,"Ammunition",'MAIN DATA, Orders'!$Q:$Q,$A7))</f>
        <v>0</v>
      </c>
      <c r="E7" s="17">
        <f>(SUMIFS('MAIN DATA, Orders'!$I:$I,'MAIN DATA, Orders'!$C:$C,"Germany",'MAIN DATA, Orders'!$N:$N,"Einzelplan 60",'MAIN DATA, Orders'!$G:$G,"Ammunition",'MAIN DATA, Orders'!$Q:$Q,$A7))</f>
        <v>0</v>
      </c>
    </row>
    <row r="8" spans="1:6">
      <c r="A8" s="72">
        <v>2</v>
      </c>
      <c r="B8" s="68">
        <v>43862</v>
      </c>
      <c r="C8" s="17">
        <f>(SUMIFS('MAIN DATA, Orders'!$I:$I,'MAIN DATA, Orders'!$C:$C,"Germany",'MAIN DATA, Orders'!$N:$N,"Einzelplan 14",'MAIN DATA, Orders'!$G:$G,"Ammunition",'MAIN DATA, Orders'!$Q:$Q,$A8))</f>
        <v>0</v>
      </c>
      <c r="D8" s="17">
        <f>(SUMIFS('MAIN DATA, Orders'!$I:$I,'MAIN DATA, Orders'!$C:$C,"Germany",'MAIN DATA, Orders'!$N:$N,"Sondervermögen",'MAIN DATA, Orders'!$G:$G,"Ammunition",'MAIN DATA, Orders'!$Q:$Q,$A8))</f>
        <v>0</v>
      </c>
      <c r="E8" s="17">
        <f>(SUMIFS('MAIN DATA, Orders'!$I:$I,'MAIN DATA, Orders'!$C:$C,"Germany",'MAIN DATA, Orders'!$N:$N,"Einzelplan 60",'MAIN DATA, Orders'!$G:$G,"Ammunition",'MAIN DATA, Orders'!$Q:$Q,$A8))</f>
        <v>0</v>
      </c>
    </row>
    <row r="9" spans="1:6">
      <c r="A9" s="72">
        <v>3</v>
      </c>
      <c r="B9" s="68">
        <v>43891</v>
      </c>
      <c r="C9" s="17">
        <f>(SUMIFS('MAIN DATA, Orders'!$I:$I,'MAIN DATA, Orders'!$C:$C,"Germany",'MAIN DATA, Orders'!$N:$N,"Einzelplan 14",'MAIN DATA, Orders'!$G:$G,"Ammunition",'MAIN DATA, Orders'!$Q:$Q,$A9))</f>
        <v>0</v>
      </c>
      <c r="D9" s="17">
        <f>(SUMIFS('MAIN DATA, Orders'!$I:$I,'MAIN DATA, Orders'!$C:$C,"Germany",'MAIN DATA, Orders'!$N:$N,"Sondervermögen",'MAIN DATA, Orders'!$G:$G,"Ammunition",'MAIN DATA, Orders'!$Q:$Q,$A9))</f>
        <v>0</v>
      </c>
      <c r="E9" s="17">
        <f>(SUMIFS('MAIN DATA, Orders'!$I:$I,'MAIN DATA, Orders'!$C:$C,"Germany",'MAIN DATA, Orders'!$N:$N,"Einzelplan 60",'MAIN DATA, Orders'!$G:$G,"Ammunition",'MAIN DATA, Orders'!$Q:$Q,$A9))</f>
        <v>0</v>
      </c>
    </row>
    <row r="10" spans="1:6">
      <c r="A10" s="72">
        <v>4</v>
      </c>
      <c r="B10" s="68">
        <v>43922</v>
      </c>
      <c r="C10" s="17">
        <f>(SUMIFS('MAIN DATA, Orders'!$I:$I,'MAIN DATA, Orders'!$C:$C,"Germany",'MAIN DATA, Orders'!$N:$N,"Einzelplan 14",'MAIN DATA, Orders'!$G:$G,"Ammunition",'MAIN DATA, Orders'!$Q:$Q,$A10))</f>
        <v>0</v>
      </c>
      <c r="D10" s="17">
        <f>(SUMIFS('MAIN DATA, Orders'!$I:$I,'MAIN DATA, Orders'!$C:$C,"Germany",'MAIN DATA, Orders'!$N:$N,"Sondervermögen",'MAIN DATA, Orders'!$G:$G,"Ammunition",'MAIN DATA, Orders'!$Q:$Q,$A10))</f>
        <v>0</v>
      </c>
      <c r="E10" s="17">
        <f>(SUMIFS('MAIN DATA, Orders'!$I:$I,'MAIN DATA, Orders'!$C:$C,"Germany",'MAIN DATA, Orders'!$N:$N,"Einzelplan 60",'MAIN DATA, Orders'!$G:$G,"Ammunition",'MAIN DATA, Orders'!$Q:$Q,$A10))</f>
        <v>0</v>
      </c>
    </row>
    <row r="11" spans="1:6">
      <c r="A11" s="72">
        <v>5</v>
      </c>
      <c r="B11" s="68">
        <v>43952</v>
      </c>
      <c r="C11" s="17">
        <f>(SUMIFS('MAIN DATA, Orders'!$I:$I,'MAIN DATA, Orders'!$C:$C,"Germany",'MAIN DATA, Orders'!$N:$N,"Einzelplan 14",'MAIN DATA, Orders'!$G:$G,"Ammunition",'MAIN DATA, Orders'!$Q:$Q,$A11))</f>
        <v>0</v>
      </c>
      <c r="D11" s="17">
        <f>(SUMIFS('MAIN DATA, Orders'!$I:$I,'MAIN DATA, Orders'!$C:$C,"Germany",'MAIN DATA, Orders'!$N:$N,"Sondervermögen",'MAIN DATA, Orders'!$G:$G,"Ammunition",'MAIN DATA, Orders'!$Q:$Q,$A11))</f>
        <v>0</v>
      </c>
      <c r="E11" s="17">
        <f>(SUMIFS('MAIN DATA, Orders'!$I:$I,'MAIN DATA, Orders'!$C:$C,"Germany",'MAIN DATA, Orders'!$N:$N,"Einzelplan 60",'MAIN DATA, Orders'!$G:$G,"Ammunition",'MAIN DATA, Orders'!$Q:$Q,$A11))</f>
        <v>0</v>
      </c>
    </row>
    <row r="12" spans="1:6">
      <c r="A12" s="72">
        <v>6</v>
      </c>
      <c r="B12" s="68">
        <v>43983</v>
      </c>
      <c r="C12" s="17">
        <f>(SUMIFS('MAIN DATA, Orders'!$I:$I,'MAIN DATA, Orders'!$C:$C,"Germany",'MAIN DATA, Orders'!$N:$N,"Einzelplan 14",'MAIN DATA, Orders'!$G:$G,"Ammunition",'MAIN DATA, Orders'!$Q:$Q,$A12))</f>
        <v>0</v>
      </c>
      <c r="D12" s="17">
        <f>(SUMIFS('MAIN DATA, Orders'!$I:$I,'MAIN DATA, Orders'!$C:$C,"Germany",'MAIN DATA, Orders'!$N:$N,"Sondervermögen",'MAIN DATA, Orders'!$G:$G,"Ammunition",'MAIN DATA, Orders'!$Q:$Q,$A12))</f>
        <v>0</v>
      </c>
      <c r="E12" s="17">
        <f>(SUMIFS('MAIN DATA, Orders'!$I:$I,'MAIN DATA, Orders'!$C:$C,"Germany",'MAIN DATA, Orders'!$N:$N,"Einzelplan 60",'MAIN DATA, Orders'!$G:$G,"Ammunition",'MAIN DATA, Orders'!$Q:$Q,$A12))</f>
        <v>0</v>
      </c>
    </row>
    <row r="13" spans="1:6">
      <c r="A13" s="72">
        <v>7</v>
      </c>
      <c r="B13" s="68">
        <v>44013</v>
      </c>
      <c r="C13" s="17">
        <f>(SUMIFS('MAIN DATA, Orders'!$I:$I,'MAIN DATA, Orders'!$C:$C,"Germany",'MAIN DATA, Orders'!$N:$N,"Einzelplan 14",'MAIN DATA, Orders'!$G:$G,"Ammunition",'MAIN DATA, Orders'!$Q:$Q,$A13))</f>
        <v>0</v>
      </c>
      <c r="D13" s="17">
        <f>(SUMIFS('MAIN DATA, Orders'!$I:$I,'MAIN DATA, Orders'!$C:$C,"Germany",'MAIN DATA, Orders'!$N:$N,"Sondervermögen",'MAIN DATA, Orders'!$G:$G,"Ammunition",'MAIN DATA, Orders'!$Q:$Q,$A13))</f>
        <v>0</v>
      </c>
      <c r="E13" s="17">
        <f>(SUMIFS('MAIN DATA, Orders'!$I:$I,'MAIN DATA, Orders'!$C:$C,"Germany",'MAIN DATA, Orders'!$N:$N,"Einzelplan 60",'MAIN DATA, Orders'!$G:$G,"Ammunition",'MAIN DATA, Orders'!$Q:$Q,$A13))</f>
        <v>0</v>
      </c>
    </row>
    <row r="14" spans="1:6">
      <c r="A14" s="72">
        <v>8</v>
      </c>
      <c r="B14" s="68">
        <v>44044</v>
      </c>
      <c r="C14" s="17">
        <f>(SUMIFS('MAIN DATA, Orders'!$I:$I,'MAIN DATA, Orders'!$C:$C,"Germany",'MAIN DATA, Orders'!$N:$N,"Einzelplan 14",'MAIN DATA, Orders'!$G:$G,"Ammunition",'MAIN DATA, Orders'!$Q:$Q,$A14))</f>
        <v>0</v>
      </c>
      <c r="D14" s="17">
        <f>(SUMIFS('MAIN DATA, Orders'!$I:$I,'MAIN DATA, Orders'!$C:$C,"Germany",'MAIN DATA, Orders'!$N:$N,"Sondervermögen",'MAIN DATA, Orders'!$G:$G,"Ammunition",'MAIN DATA, Orders'!$Q:$Q,$A14))</f>
        <v>0</v>
      </c>
      <c r="E14" s="17">
        <f>(SUMIFS('MAIN DATA, Orders'!$I:$I,'MAIN DATA, Orders'!$C:$C,"Germany",'MAIN DATA, Orders'!$N:$N,"Einzelplan 60",'MAIN DATA, Orders'!$G:$G,"Ammunition",'MAIN DATA, Orders'!$Q:$Q,$A14))</f>
        <v>0</v>
      </c>
    </row>
    <row r="15" spans="1:6">
      <c r="A15" s="72">
        <v>9</v>
      </c>
      <c r="B15" s="68">
        <v>44075</v>
      </c>
      <c r="C15" s="17">
        <f>(SUMIFS('MAIN DATA, Orders'!$I:$I,'MAIN DATA, Orders'!$C:$C,"Germany",'MAIN DATA, Orders'!$N:$N,"Einzelplan 14",'MAIN DATA, Orders'!$G:$G,"Ammunition",'MAIN DATA, Orders'!$Q:$Q,$A15))</f>
        <v>0</v>
      </c>
      <c r="D15" s="17">
        <f>(SUMIFS('MAIN DATA, Orders'!$I:$I,'MAIN DATA, Orders'!$C:$C,"Germany",'MAIN DATA, Orders'!$N:$N,"Sondervermögen",'MAIN DATA, Orders'!$G:$G,"Ammunition",'MAIN DATA, Orders'!$Q:$Q,$A15))</f>
        <v>0</v>
      </c>
      <c r="E15" s="17">
        <f>(SUMIFS('MAIN DATA, Orders'!$I:$I,'MAIN DATA, Orders'!$C:$C,"Germany",'MAIN DATA, Orders'!$N:$N,"Einzelplan 60",'MAIN DATA, Orders'!$G:$G,"Ammunition",'MAIN DATA, Orders'!$Q:$Q,$A15))</f>
        <v>0</v>
      </c>
    </row>
    <row r="16" spans="1:6">
      <c r="A16" s="72">
        <v>10</v>
      </c>
      <c r="B16" s="68">
        <v>44105</v>
      </c>
      <c r="C16" s="17">
        <f>(SUMIFS('MAIN DATA, Orders'!$I:$I,'MAIN DATA, Orders'!$C:$C,"Germany",'MAIN DATA, Orders'!$N:$N,"Einzelplan 14",'MAIN DATA, Orders'!$G:$G,"Ammunition",'MAIN DATA, Orders'!$Q:$Q,$A16))</f>
        <v>0</v>
      </c>
      <c r="D16" s="17">
        <f>(SUMIFS('MAIN DATA, Orders'!$I:$I,'MAIN DATA, Orders'!$C:$C,"Germany",'MAIN DATA, Orders'!$N:$N,"Sondervermögen",'MAIN DATA, Orders'!$G:$G,"Ammunition",'MAIN DATA, Orders'!$Q:$Q,$A16))</f>
        <v>0</v>
      </c>
      <c r="E16" s="17">
        <f>(SUMIFS('MAIN DATA, Orders'!$I:$I,'MAIN DATA, Orders'!$C:$C,"Germany",'MAIN DATA, Orders'!$N:$N,"Einzelplan 60",'MAIN DATA, Orders'!$G:$G,"Ammunition",'MAIN DATA, Orders'!$Q:$Q,$A16))</f>
        <v>0</v>
      </c>
    </row>
    <row r="17" spans="1:5">
      <c r="A17" s="72">
        <v>11</v>
      </c>
      <c r="B17" s="68">
        <v>44136</v>
      </c>
      <c r="C17" s="17">
        <f>(SUMIFS('MAIN DATA, Orders'!$I:$I,'MAIN DATA, Orders'!$C:$C,"Germany",'MAIN DATA, Orders'!$N:$N,"Einzelplan 14",'MAIN DATA, Orders'!$G:$G,"Ammunition",'MAIN DATA, Orders'!$Q:$Q,$A17))</f>
        <v>15000</v>
      </c>
      <c r="D17" s="17">
        <f>(SUMIFS('MAIN DATA, Orders'!$I:$I,'MAIN DATA, Orders'!$C:$C,"Germany",'MAIN DATA, Orders'!$N:$N,"Sondervermögen",'MAIN DATA, Orders'!$G:$G,"Ammunition",'MAIN DATA, Orders'!$Q:$Q,$A17))</f>
        <v>0</v>
      </c>
      <c r="E17" s="17">
        <f>(SUMIFS('MAIN DATA, Orders'!$I:$I,'MAIN DATA, Orders'!$C:$C,"Germany",'MAIN DATA, Orders'!$N:$N,"Einzelplan 60",'MAIN DATA, Orders'!$G:$G,"Ammunition",'MAIN DATA, Orders'!$Q:$Q,$A17))</f>
        <v>0</v>
      </c>
    </row>
    <row r="18" spans="1:5">
      <c r="A18" s="72">
        <v>12</v>
      </c>
      <c r="B18" s="68">
        <v>44166</v>
      </c>
      <c r="C18" s="17">
        <f>(SUMIFS('MAIN DATA, Orders'!$I:$I,'MAIN DATA, Orders'!$C:$C,"Germany",'MAIN DATA, Orders'!$N:$N,"Einzelplan 14",'MAIN DATA, Orders'!$G:$G,"Ammunition",'MAIN DATA, Orders'!$Q:$Q,$A18))</f>
        <v>0</v>
      </c>
      <c r="D18" s="17">
        <f>(SUMIFS('MAIN DATA, Orders'!$I:$I,'MAIN DATA, Orders'!$C:$C,"Germany",'MAIN DATA, Orders'!$N:$N,"Sondervermögen",'MAIN DATA, Orders'!$G:$G,"Ammunition",'MAIN DATA, Orders'!$Q:$Q,$A18))</f>
        <v>0</v>
      </c>
      <c r="E18" s="17">
        <f>(SUMIFS('MAIN DATA, Orders'!$I:$I,'MAIN DATA, Orders'!$C:$C,"Germany",'MAIN DATA, Orders'!$N:$N,"Einzelplan 60",'MAIN DATA, Orders'!$G:$G,"Ammunition",'MAIN DATA, Orders'!$Q:$Q,$A18))</f>
        <v>0</v>
      </c>
    </row>
    <row r="19" spans="1:5">
      <c r="A19" s="72">
        <v>13</v>
      </c>
      <c r="B19" s="68">
        <v>44197</v>
      </c>
      <c r="C19" s="17">
        <f>(SUMIFS('MAIN DATA, Orders'!$I:$I,'MAIN DATA, Orders'!$C:$C,"Germany",'MAIN DATA, Orders'!$N:$N,"Einzelplan 14",'MAIN DATA, Orders'!$G:$G,"Ammunition",'MAIN DATA, Orders'!$Q:$Q,$A19))</f>
        <v>0</v>
      </c>
      <c r="D19" s="17">
        <f>(SUMIFS('MAIN DATA, Orders'!$I:$I,'MAIN DATA, Orders'!$C:$C,"Germany",'MAIN DATA, Orders'!$N:$N,"Sondervermögen",'MAIN DATA, Orders'!$G:$G,"Ammunition",'MAIN DATA, Orders'!$Q:$Q,$A19))</f>
        <v>0</v>
      </c>
      <c r="E19" s="17">
        <f>(SUMIFS('MAIN DATA, Orders'!$I:$I,'MAIN DATA, Orders'!$C:$C,"Germany",'MAIN DATA, Orders'!$N:$N,"Einzelplan 60",'MAIN DATA, Orders'!$G:$G,"Ammunition",'MAIN DATA, Orders'!$Q:$Q,$A19))</f>
        <v>0</v>
      </c>
    </row>
    <row r="20" spans="1:5">
      <c r="A20" s="72">
        <v>14</v>
      </c>
      <c r="B20" s="68">
        <v>44228</v>
      </c>
      <c r="C20" s="17">
        <f>(SUMIFS('MAIN DATA, Orders'!$I:$I,'MAIN DATA, Orders'!$C:$C,"Germany",'MAIN DATA, Orders'!$N:$N,"Einzelplan 14",'MAIN DATA, Orders'!$G:$G,"Ammunition",'MAIN DATA, Orders'!$Q:$Q,$A20))</f>
        <v>0</v>
      </c>
      <c r="D20" s="17">
        <f>(SUMIFS('MAIN DATA, Orders'!$I:$I,'MAIN DATA, Orders'!$C:$C,"Germany",'MAIN DATA, Orders'!$N:$N,"Sondervermögen",'MAIN DATA, Orders'!$G:$G,"Ammunition",'MAIN DATA, Orders'!$Q:$Q,$A20))</f>
        <v>0</v>
      </c>
      <c r="E20" s="17">
        <f>(SUMIFS('MAIN DATA, Orders'!$I:$I,'MAIN DATA, Orders'!$C:$C,"Germany",'MAIN DATA, Orders'!$N:$N,"Einzelplan 60",'MAIN DATA, Orders'!$G:$G,"Ammunition",'MAIN DATA, Orders'!$Q:$Q,$A20))</f>
        <v>0</v>
      </c>
    </row>
    <row r="21" spans="1:5">
      <c r="A21" s="72">
        <v>15</v>
      </c>
      <c r="B21" s="68">
        <v>44256</v>
      </c>
      <c r="C21" s="17">
        <f>(SUMIFS('MAIN DATA, Orders'!$I:$I,'MAIN DATA, Orders'!$C:$C,"Germany",'MAIN DATA, Orders'!$N:$N,"Einzelplan 14",'MAIN DATA, Orders'!$G:$G,"Ammunition",'MAIN DATA, Orders'!$Q:$Q,$A21))</f>
        <v>0</v>
      </c>
      <c r="D21" s="17">
        <f>(SUMIFS('MAIN DATA, Orders'!$I:$I,'MAIN DATA, Orders'!$C:$C,"Germany",'MAIN DATA, Orders'!$N:$N,"Sondervermögen",'MAIN DATA, Orders'!$G:$G,"Ammunition",'MAIN DATA, Orders'!$Q:$Q,$A21))</f>
        <v>0</v>
      </c>
      <c r="E21" s="17">
        <f>(SUMIFS('MAIN DATA, Orders'!$I:$I,'MAIN DATA, Orders'!$C:$C,"Germany",'MAIN DATA, Orders'!$N:$N,"Einzelplan 60",'MAIN DATA, Orders'!$G:$G,"Ammunition",'MAIN DATA, Orders'!$Q:$Q,$A21))</f>
        <v>0</v>
      </c>
    </row>
    <row r="22" spans="1:5">
      <c r="A22" s="72">
        <v>16</v>
      </c>
      <c r="B22" s="68">
        <v>44287</v>
      </c>
      <c r="C22" s="17">
        <f>(SUMIFS('MAIN DATA, Orders'!$I:$I,'MAIN DATA, Orders'!$C:$C,"Germany",'MAIN DATA, Orders'!$N:$N,"Einzelplan 14",'MAIN DATA, Orders'!$G:$G,"Ammunition",'MAIN DATA, Orders'!$Q:$Q,$A22))</f>
        <v>0</v>
      </c>
      <c r="D22" s="17">
        <f>(SUMIFS('MAIN DATA, Orders'!$I:$I,'MAIN DATA, Orders'!$C:$C,"Germany",'MAIN DATA, Orders'!$N:$N,"Sondervermögen",'MAIN DATA, Orders'!$G:$G,"Ammunition",'MAIN DATA, Orders'!$Q:$Q,$A22))</f>
        <v>0</v>
      </c>
      <c r="E22" s="17">
        <f>(SUMIFS('MAIN DATA, Orders'!$I:$I,'MAIN DATA, Orders'!$C:$C,"Germany",'MAIN DATA, Orders'!$N:$N,"Einzelplan 60",'MAIN DATA, Orders'!$G:$G,"Ammunition",'MAIN DATA, Orders'!$Q:$Q,$A22))</f>
        <v>0</v>
      </c>
    </row>
    <row r="23" spans="1:5">
      <c r="A23" s="72">
        <v>17</v>
      </c>
      <c r="B23" s="68">
        <v>44317</v>
      </c>
      <c r="C23" s="17">
        <f>(SUMIFS('MAIN DATA, Orders'!$I:$I,'MAIN DATA, Orders'!$C:$C,"Germany",'MAIN DATA, Orders'!$N:$N,"Einzelplan 14",'MAIN DATA, Orders'!$G:$G,"Ammunition",'MAIN DATA, Orders'!$Q:$Q,$A23))</f>
        <v>0</v>
      </c>
      <c r="D23" s="17">
        <f>(SUMIFS('MAIN DATA, Orders'!$I:$I,'MAIN DATA, Orders'!$C:$C,"Germany",'MAIN DATA, Orders'!$N:$N,"Sondervermögen",'MAIN DATA, Orders'!$G:$G,"Ammunition",'MAIN DATA, Orders'!$Q:$Q,$A23))</f>
        <v>0</v>
      </c>
      <c r="E23" s="17">
        <f>(SUMIFS('MAIN DATA, Orders'!$I:$I,'MAIN DATA, Orders'!$C:$C,"Germany",'MAIN DATA, Orders'!$N:$N,"Einzelplan 60",'MAIN DATA, Orders'!$G:$G,"Ammunition",'MAIN DATA, Orders'!$Q:$Q,$A23))</f>
        <v>0</v>
      </c>
    </row>
    <row r="24" spans="1:5">
      <c r="A24" s="72">
        <v>18</v>
      </c>
      <c r="B24" s="68">
        <v>44348</v>
      </c>
      <c r="C24" s="17">
        <f>(SUMIFS('MAIN DATA, Orders'!$I:$I,'MAIN DATA, Orders'!$C:$C,"Germany",'MAIN DATA, Orders'!$N:$N,"Einzelplan 14",'MAIN DATA, Orders'!$G:$G,"Ammunition",'MAIN DATA, Orders'!$Q:$Q,$A24))</f>
        <v>0</v>
      </c>
      <c r="D24" s="17">
        <f>(SUMIFS('MAIN DATA, Orders'!$I:$I,'MAIN DATA, Orders'!$C:$C,"Germany",'MAIN DATA, Orders'!$N:$N,"Sondervermögen",'MAIN DATA, Orders'!$G:$G,"Ammunition",'MAIN DATA, Orders'!$Q:$Q,$A24))</f>
        <v>0</v>
      </c>
      <c r="E24" s="17">
        <f>(SUMIFS('MAIN DATA, Orders'!$I:$I,'MAIN DATA, Orders'!$C:$C,"Germany",'MAIN DATA, Orders'!$N:$N,"Einzelplan 60",'MAIN DATA, Orders'!$G:$G,"Ammunition",'MAIN DATA, Orders'!$Q:$Q,$A24))</f>
        <v>0</v>
      </c>
    </row>
    <row r="25" spans="1:5">
      <c r="A25" s="72">
        <v>19</v>
      </c>
      <c r="B25" s="68">
        <v>44378</v>
      </c>
      <c r="C25" s="17">
        <f>(SUMIFS('MAIN DATA, Orders'!$I:$I,'MAIN DATA, Orders'!$C:$C,"Germany",'MAIN DATA, Orders'!$N:$N,"Einzelplan 14",'MAIN DATA, Orders'!$G:$G,"Ammunition",'MAIN DATA, Orders'!$Q:$Q,$A25))</f>
        <v>0</v>
      </c>
      <c r="D25" s="17">
        <f>(SUMIFS('MAIN DATA, Orders'!$I:$I,'MAIN DATA, Orders'!$C:$C,"Germany",'MAIN DATA, Orders'!$N:$N,"Sondervermögen",'MAIN DATA, Orders'!$G:$G,"Ammunition",'MAIN DATA, Orders'!$Q:$Q,$A25))</f>
        <v>0</v>
      </c>
      <c r="E25" s="17">
        <f>(SUMIFS('MAIN DATA, Orders'!$I:$I,'MAIN DATA, Orders'!$C:$C,"Germany",'MAIN DATA, Orders'!$N:$N,"Einzelplan 60",'MAIN DATA, Orders'!$G:$G,"Ammunition",'MAIN DATA, Orders'!$Q:$Q,$A25))</f>
        <v>0</v>
      </c>
    </row>
    <row r="26" spans="1:5">
      <c r="A26" s="72">
        <v>20</v>
      </c>
      <c r="B26" s="68">
        <v>44409</v>
      </c>
      <c r="C26" s="17">
        <f>(SUMIFS('MAIN DATA, Orders'!$I:$I,'MAIN DATA, Orders'!$C:$C,"Germany",'MAIN DATA, Orders'!$N:$N,"Einzelplan 14",'MAIN DATA, Orders'!$G:$G,"Ammunition",'MAIN DATA, Orders'!$Q:$Q,$A26))</f>
        <v>0</v>
      </c>
      <c r="D26" s="17">
        <f>(SUMIFS('MAIN DATA, Orders'!$I:$I,'MAIN DATA, Orders'!$C:$C,"Germany",'MAIN DATA, Orders'!$N:$N,"Sondervermögen",'MAIN DATA, Orders'!$G:$G,"Ammunition",'MAIN DATA, Orders'!$Q:$Q,$A26))</f>
        <v>0</v>
      </c>
      <c r="E26" s="17">
        <f>(SUMIFS('MAIN DATA, Orders'!$I:$I,'MAIN DATA, Orders'!$C:$C,"Germany",'MAIN DATA, Orders'!$N:$N,"Einzelplan 60",'MAIN DATA, Orders'!$G:$G,"Ammunition",'MAIN DATA, Orders'!$Q:$Q,$A26))</f>
        <v>0</v>
      </c>
    </row>
    <row r="27" spans="1:5">
      <c r="A27" s="72">
        <v>21</v>
      </c>
      <c r="B27" s="68">
        <v>44440</v>
      </c>
      <c r="C27" s="17">
        <f>(SUMIFS('MAIN DATA, Orders'!$I:$I,'MAIN DATA, Orders'!$C:$C,"Germany",'MAIN DATA, Orders'!$N:$N,"Einzelplan 14",'MAIN DATA, Orders'!$G:$G,"Ammunition",'MAIN DATA, Orders'!$Q:$Q,$A27))</f>
        <v>0</v>
      </c>
      <c r="D27" s="17">
        <f>(SUMIFS('MAIN DATA, Orders'!$I:$I,'MAIN DATA, Orders'!$C:$C,"Germany",'MAIN DATA, Orders'!$N:$N,"Sondervermögen",'MAIN DATA, Orders'!$G:$G,"Ammunition",'MAIN DATA, Orders'!$Q:$Q,$A27))</f>
        <v>0</v>
      </c>
      <c r="E27" s="17">
        <f>(SUMIFS('MAIN DATA, Orders'!$I:$I,'MAIN DATA, Orders'!$C:$C,"Germany",'MAIN DATA, Orders'!$N:$N,"Einzelplan 60",'MAIN DATA, Orders'!$G:$G,"Ammunition",'MAIN DATA, Orders'!$Q:$Q,$A27))</f>
        <v>0</v>
      </c>
    </row>
    <row r="28" spans="1:5">
      <c r="A28" s="72">
        <v>22</v>
      </c>
      <c r="B28" s="68">
        <v>44470</v>
      </c>
      <c r="C28" s="17">
        <f>(SUMIFS('MAIN DATA, Orders'!$I:$I,'MAIN DATA, Orders'!$C:$C,"Germany",'MAIN DATA, Orders'!$N:$N,"Einzelplan 14",'MAIN DATA, Orders'!$G:$G,"Ammunition",'MAIN DATA, Orders'!$Q:$Q,$A28))</f>
        <v>0</v>
      </c>
      <c r="D28" s="17">
        <f>(SUMIFS('MAIN DATA, Orders'!$I:$I,'MAIN DATA, Orders'!$C:$C,"Germany",'MAIN DATA, Orders'!$N:$N,"Sondervermögen",'MAIN DATA, Orders'!$G:$G,"Ammunition",'MAIN DATA, Orders'!$Q:$Q,$A28))</f>
        <v>0</v>
      </c>
      <c r="E28" s="17">
        <f>(SUMIFS('MAIN DATA, Orders'!$I:$I,'MAIN DATA, Orders'!$C:$C,"Germany",'MAIN DATA, Orders'!$N:$N,"Einzelplan 60",'MAIN DATA, Orders'!$G:$G,"Ammunition",'MAIN DATA, Orders'!$Q:$Q,$A28))</f>
        <v>0</v>
      </c>
    </row>
    <row r="29" spans="1:5">
      <c r="A29" s="72">
        <v>23</v>
      </c>
      <c r="B29" s="68">
        <v>44501</v>
      </c>
      <c r="C29" s="17">
        <f>(SUMIFS('MAIN DATA, Orders'!$I:$I,'MAIN DATA, Orders'!$C:$C,"Germany",'MAIN DATA, Orders'!$N:$N,"Einzelplan 14",'MAIN DATA, Orders'!$G:$G,"Ammunition",'MAIN DATA, Orders'!$Q:$Q,$A29))</f>
        <v>0</v>
      </c>
      <c r="D29" s="17">
        <f>(SUMIFS('MAIN DATA, Orders'!$I:$I,'MAIN DATA, Orders'!$C:$C,"Germany",'MAIN DATA, Orders'!$N:$N,"Sondervermögen",'MAIN DATA, Orders'!$G:$G,"Ammunition",'MAIN DATA, Orders'!$Q:$Q,$A29))</f>
        <v>0</v>
      </c>
      <c r="E29" s="17">
        <f>(SUMIFS('MAIN DATA, Orders'!$I:$I,'MAIN DATA, Orders'!$C:$C,"Germany",'MAIN DATA, Orders'!$N:$N,"Einzelplan 60",'MAIN DATA, Orders'!$G:$G,"Ammunition",'MAIN DATA, Orders'!$Q:$Q,$A29))</f>
        <v>0</v>
      </c>
    </row>
    <row r="30" spans="1:5">
      <c r="A30" s="72">
        <v>24</v>
      </c>
      <c r="B30" s="68">
        <v>44531</v>
      </c>
      <c r="C30" s="17">
        <f>(SUMIFS('MAIN DATA, Orders'!$I:$I,'MAIN DATA, Orders'!$C:$C,"Germany",'MAIN DATA, Orders'!$N:$N,"Einzelplan 14",'MAIN DATA, Orders'!$G:$G,"Ammunition",'MAIN DATA, Orders'!$Q:$Q,$A30))</f>
        <v>0</v>
      </c>
      <c r="D30" s="17">
        <f>(SUMIFS('MAIN DATA, Orders'!$I:$I,'MAIN DATA, Orders'!$C:$C,"Germany",'MAIN DATA, Orders'!$N:$N,"Sondervermögen",'MAIN DATA, Orders'!$G:$G,"Ammunition",'MAIN DATA, Orders'!$Q:$Q,$A30))</f>
        <v>0</v>
      </c>
      <c r="E30" s="17">
        <f>(SUMIFS('MAIN DATA, Orders'!$I:$I,'MAIN DATA, Orders'!$C:$C,"Germany",'MAIN DATA, Orders'!$N:$N,"Einzelplan 60",'MAIN DATA, Orders'!$G:$G,"Ammunition",'MAIN DATA, Orders'!$Q:$Q,$A30))</f>
        <v>0</v>
      </c>
    </row>
    <row r="31" spans="1:5">
      <c r="A31" s="72">
        <v>25</v>
      </c>
      <c r="B31" s="68">
        <v>44562</v>
      </c>
      <c r="C31" s="17">
        <f>(SUMIFS('MAIN DATA, Orders'!$I:$I,'MAIN DATA, Orders'!$C:$C,"Germany",'MAIN DATA, Orders'!$N:$N,"Einzelplan 14",'MAIN DATA, Orders'!$G:$G,"Ammunition",'MAIN DATA, Orders'!$Q:$Q,$A31))</f>
        <v>0</v>
      </c>
      <c r="D31" s="17">
        <f>(SUMIFS('MAIN DATA, Orders'!$I:$I,'MAIN DATA, Orders'!$C:$C,"Germany",'MAIN DATA, Orders'!$N:$N,"Sondervermögen",'MAIN DATA, Orders'!$G:$G,"Ammunition",'MAIN DATA, Orders'!$Q:$Q,$A31))</f>
        <v>0</v>
      </c>
      <c r="E31" s="17">
        <f>(SUMIFS('MAIN DATA, Orders'!$I:$I,'MAIN DATA, Orders'!$C:$C,"Germany",'MAIN DATA, Orders'!$N:$N,"Einzelplan 60",'MAIN DATA, Orders'!$G:$G,"Ammunition",'MAIN DATA, Orders'!$Q:$Q,$A31))</f>
        <v>0</v>
      </c>
    </row>
    <row r="32" spans="1:5">
      <c r="A32" s="72">
        <v>26</v>
      </c>
      <c r="B32" s="68">
        <v>44593</v>
      </c>
      <c r="C32" s="17">
        <f>(SUMIFS('MAIN DATA, Orders'!$I:$I,'MAIN DATA, Orders'!$C:$C,"Germany",'MAIN DATA, Orders'!$N:$N,"Einzelplan 14",'MAIN DATA, Orders'!$G:$G,"Ammunition",'MAIN DATA, Orders'!$Q:$Q,$A32))</f>
        <v>0</v>
      </c>
      <c r="D32" s="17">
        <f>(SUMIFS('MAIN DATA, Orders'!$I:$I,'MAIN DATA, Orders'!$C:$C,"Germany",'MAIN DATA, Orders'!$N:$N,"Sondervermögen",'MAIN DATA, Orders'!$G:$G,"Ammunition",'MAIN DATA, Orders'!$Q:$Q,$A32))</f>
        <v>0</v>
      </c>
      <c r="E32" s="17">
        <f>(SUMIFS('MAIN DATA, Orders'!$I:$I,'MAIN DATA, Orders'!$C:$C,"Germany",'MAIN DATA, Orders'!$N:$N,"Einzelplan 60",'MAIN DATA, Orders'!$G:$G,"Ammunition",'MAIN DATA, Orders'!$Q:$Q,$A32))</f>
        <v>0</v>
      </c>
    </row>
    <row r="33" spans="1:5">
      <c r="A33" s="72">
        <v>27</v>
      </c>
      <c r="B33" s="68">
        <v>44621</v>
      </c>
      <c r="C33" s="17">
        <f>(SUMIFS('MAIN DATA, Orders'!$I:$I,'MAIN DATA, Orders'!$C:$C,"Germany",'MAIN DATA, Orders'!$N:$N,"Einzelplan 14",'MAIN DATA, Orders'!$G:$G,"Ammunition",'MAIN DATA, Orders'!$Q:$Q,$A33))</f>
        <v>0</v>
      </c>
      <c r="D33" s="17">
        <f>(SUMIFS('MAIN DATA, Orders'!$I:$I,'MAIN DATA, Orders'!$C:$C,"Germany",'MAIN DATA, Orders'!$N:$N,"Sondervermögen",'MAIN DATA, Orders'!$G:$G,"Ammunition",'MAIN DATA, Orders'!$Q:$Q,$A33))</f>
        <v>0</v>
      </c>
      <c r="E33" s="17">
        <f>(SUMIFS('MAIN DATA, Orders'!$I:$I,'MAIN DATA, Orders'!$C:$C,"Germany",'MAIN DATA, Orders'!$N:$N,"Einzelplan 60",'MAIN DATA, Orders'!$G:$G,"Ammunition",'MAIN DATA, Orders'!$Q:$Q,$A33))</f>
        <v>0</v>
      </c>
    </row>
    <row r="34" spans="1:5">
      <c r="A34" s="72">
        <v>28</v>
      </c>
      <c r="B34" s="68">
        <v>44652</v>
      </c>
      <c r="C34" s="17">
        <f>(SUMIFS('MAIN DATA, Orders'!$I:$I,'MAIN DATA, Orders'!$C:$C,"Germany",'MAIN DATA, Orders'!$N:$N,"Einzelplan 14",'MAIN DATA, Orders'!$G:$G,"Ammunition",'MAIN DATA, Orders'!$Q:$Q,$A34))</f>
        <v>0</v>
      </c>
      <c r="D34" s="17">
        <f>(SUMIFS('MAIN DATA, Orders'!$I:$I,'MAIN DATA, Orders'!$C:$C,"Germany",'MAIN DATA, Orders'!$N:$N,"Sondervermögen",'MAIN DATA, Orders'!$G:$G,"Ammunition",'MAIN DATA, Orders'!$Q:$Q,$A34))</f>
        <v>0</v>
      </c>
      <c r="E34" s="17">
        <f>(SUMIFS('MAIN DATA, Orders'!$I:$I,'MAIN DATA, Orders'!$C:$C,"Germany",'MAIN DATA, Orders'!$N:$N,"Einzelplan 60",'MAIN DATA, Orders'!$G:$G,"Ammunition",'MAIN DATA, Orders'!$Q:$Q,$A34))</f>
        <v>0</v>
      </c>
    </row>
    <row r="35" spans="1:5">
      <c r="A35" s="72">
        <v>29</v>
      </c>
      <c r="B35" s="68">
        <v>44682</v>
      </c>
      <c r="C35" s="17">
        <f>(SUMIFS('MAIN DATA, Orders'!$I:$I,'MAIN DATA, Orders'!$C:$C,"Germany",'MAIN DATA, Orders'!$N:$N,"Einzelplan 14",'MAIN DATA, Orders'!$G:$G,"Ammunition",'MAIN DATA, Orders'!$Q:$Q,$A35))</f>
        <v>0</v>
      </c>
      <c r="D35" s="17">
        <f>(SUMIFS('MAIN DATA, Orders'!$I:$I,'MAIN DATA, Orders'!$C:$C,"Germany",'MAIN DATA, Orders'!$N:$N,"Sondervermögen",'MAIN DATA, Orders'!$G:$G,"Ammunition",'MAIN DATA, Orders'!$Q:$Q,$A35))</f>
        <v>0</v>
      </c>
      <c r="E35" s="17">
        <f>(SUMIFS('MAIN DATA, Orders'!$I:$I,'MAIN DATA, Orders'!$C:$C,"Germany",'MAIN DATA, Orders'!$N:$N,"Einzelplan 60",'MAIN DATA, Orders'!$G:$G,"Ammunition",'MAIN DATA, Orders'!$Q:$Q,$A35))</f>
        <v>0</v>
      </c>
    </row>
    <row r="36" spans="1:5">
      <c r="A36" s="72">
        <v>30</v>
      </c>
      <c r="B36" s="68">
        <v>44713</v>
      </c>
      <c r="C36" s="17">
        <f>(SUMIFS('MAIN DATA, Orders'!$I:$I,'MAIN DATA, Orders'!$C:$C,"Germany",'MAIN DATA, Orders'!$N:$N,"Einzelplan 14",'MAIN DATA, Orders'!$G:$G,"Ammunition",'MAIN DATA, Orders'!$Q:$Q,$A36))</f>
        <v>0</v>
      </c>
      <c r="D36" s="17">
        <f>(SUMIFS('MAIN DATA, Orders'!$I:$I,'MAIN DATA, Orders'!$C:$C,"Germany",'MAIN DATA, Orders'!$N:$N,"Sondervermögen",'MAIN DATA, Orders'!$G:$G,"Ammunition",'MAIN DATA, Orders'!$Q:$Q,$A36))</f>
        <v>0</v>
      </c>
      <c r="E36" s="17">
        <f>(SUMIFS('MAIN DATA, Orders'!$I:$I,'MAIN DATA, Orders'!$C:$C,"Germany",'MAIN DATA, Orders'!$N:$N,"Einzelplan 60",'MAIN DATA, Orders'!$G:$G,"Ammunition",'MAIN DATA, Orders'!$Q:$Q,$A36))</f>
        <v>0</v>
      </c>
    </row>
    <row r="37" spans="1:5">
      <c r="A37" s="72">
        <v>31</v>
      </c>
      <c r="B37" s="68">
        <v>44743</v>
      </c>
      <c r="C37" s="17">
        <f>(SUMIFS('MAIN DATA, Orders'!$I:$I,'MAIN DATA, Orders'!$C:$C,"Germany",'MAIN DATA, Orders'!$N:$N,"Einzelplan 14",'MAIN DATA, Orders'!$G:$G,"Ammunition",'MAIN DATA, Orders'!$Q:$Q,$A37))</f>
        <v>20715</v>
      </c>
      <c r="D37" s="17">
        <f>(SUMIFS('MAIN DATA, Orders'!$I:$I,'MAIN DATA, Orders'!$C:$C,"Germany",'MAIN DATA, Orders'!$N:$N,"Sondervermögen",'MAIN DATA, Orders'!$G:$G,"Ammunition",'MAIN DATA, Orders'!$Q:$Q,$A37))</f>
        <v>0</v>
      </c>
      <c r="E37" s="17">
        <f>(SUMIFS('MAIN DATA, Orders'!$I:$I,'MAIN DATA, Orders'!$C:$C,"Germany",'MAIN DATA, Orders'!$N:$N,"Einzelplan 60",'MAIN DATA, Orders'!$G:$G,"Ammunition",'MAIN DATA, Orders'!$Q:$Q,$A37))</f>
        <v>0</v>
      </c>
    </row>
    <row r="38" spans="1:5">
      <c r="A38" s="72">
        <v>32</v>
      </c>
      <c r="B38" s="68">
        <v>44774</v>
      </c>
      <c r="C38" s="17">
        <f>(SUMIFS('MAIN DATA, Orders'!$I:$I,'MAIN DATA, Orders'!$C:$C,"Germany",'MAIN DATA, Orders'!$N:$N,"Einzelplan 14",'MAIN DATA, Orders'!$G:$G,"Ammunition",'MAIN DATA, Orders'!$Q:$Q,$A38))</f>
        <v>0</v>
      </c>
      <c r="D38" s="17">
        <f>(SUMIFS('MAIN DATA, Orders'!$I:$I,'MAIN DATA, Orders'!$C:$C,"Germany",'MAIN DATA, Orders'!$N:$N,"Sondervermögen",'MAIN DATA, Orders'!$G:$G,"Ammunition",'MAIN DATA, Orders'!$Q:$Q,$A38))</f>
        <v>0</v>
      </c>
      <c r="E38" s="17">
        <f>(SUMIFS('MAIN DATA, Orders'!$I:$I,'MAIN DATA, Orders'!$C:$C,"Germany",'MAIN DATA, Orders'!$N:$N,"Einzelplan 60",'MAIN DATA, Orders'!$G:$G,"Ammunition",'MAIN DATA, Orders'!$Q:$Q,$A38))</f>
        <v>0</v>
      </c>
    </row>
    <row r="39" spans="1:5">
      <c r="A39" s="72">
        <v>33</v>
      </c>
      <c r="B39" s="68">
        <v>44805</v>
      </c>
      <c r="C39" s="17">
        <f>(SUMIFS('MAIN DATA, Orders'!$I:$I,'MAIN DATA, Orders'!$C:$C,"Germany",'MAIN DATA, Orders'!$N:$N,"Einzelplan 14",'MAIN DATA, Orders'!$G:$G,"Ammunition",'MAIN DATA, Orders'!$Q:$Q,$A39))</f>
        <v>0</v>
      </c>
      <c r="D39" s="17">
        <f>(SUMIFS('MAIN DATA, Orders'!$I:$I,'MAIN DATA, Orders'!$C:$C,"Germany",'MAIN DATA, Orders'!$N:$N,"Sondervermögen",'MAIN DATA, Orders'!$G:$G,"Ammunition",'MAIN DATA, Orders'!$Q:$Q,$A39))</f>
        <v>0</v>
      </c>
      <c r="E39" s="17">
        <f>(SUMIFS('MAIN DATA, Orders'!$I:$I,'MAIN DATA, Orders'!$C:$C,"Germany",'MAIN DATA, Orders'!$N:$N,"Einzelplan 60",'MAIN DATA, Orders'!$G:$G,"Ammunition",'MAIN DATA, Orders'!$Q:$Q,$A39))</f>
        <v>0</v>
      </c>
    </row>
    <row r="40" spans="1:5">
      <c r="A40" s="72">
        <v>34</v>
      </c>
      <c r="B40" s="68">
        <v>44835</v>
      </c>
      <c r="C40" s="17">
        <f>(SUMIFS('MAIN DATA, Orders'!$I:$I,'MAIN DATA, Orders'!$C:$C,"Germany",'MAIN DATA, Orders'!$N:$N,"Einzelplan 14",'MAIN DATA, Orders'!$G:$G,"Ammunition",'MAIN DATA, Orders'!$Q:$Q,$A40))</f>
        <v>0</v>
      </c>
      <c r="D40" s="17">
        <f>(SUMIFS('MAIN DATA, Orders'!$I:$I,'MAIN DATA, Orders'!$C:$C,"Germany",'MAIN DATA, Orders'!$N:$N,"Sondervermögen",'MAIN DATA, Orders'!$G:$G,"Ammunition",'MAIN DATA, Orders'!$Q:$Q,$A40))</f>
        <v>0</v>
      </c>
      <c r="E40" s="17">
        <f>(SUMIFS('MAIN DATA, Orders'!$I:$I,'MAIN DATA, Orders'!$C:$C,"Germany",'MAIN DATA, Orders'!$N:$N,"Einzelplan 60",'MAIN DATA, Orders'!$G:$G,"Ammunition",'MAIN DATA, Orders'!$Q:$Q,$A40))</f>
        <v>0</v>
      </c>
    </row>
    <row r="41" spans="1:5">
      <c r="A41" s="72">
        <v>35</v>
      </c>
      <c r="B41" s="68">
        <v>44866</v>
      </c>
      <c r="C41" s="17">
        <f>(SUMIFS('MAIN DATA, Orders'!$I:$I,'MAIN DATA, Orders'!$C:$C,"Germany",'MAIN DATA, Orders'!$N:$N,"Einzelplan 14",'MAIN DATA, Orders'!$G:$G,"Ammunition",'MAIN DATA, Orders'!$Q:$Q,$A41))</f>
        <v>25000</v>
      </c>
      <c r="D41" s="17">
        <f>(SUMIFS('MAIN DATA, Orders'!$I:$I,'MAIN DATA, Orders'!$C:$C,"Germany",'MAIN DATA, Orders'!$N:$N,"Sondervermögen",'MAIN DATA, Orders'!$G:$G,"Ammunition",'MAIN DATA, Orders'!$Q:$Q,$A41))</f>
        <v>0</v>
      </c>
      <c r="E41" s="17">
        <f>(SUMIFS('MAIN DATA, Orders'!$I:$I,'MAIN DATA, Orders'!$C:$C,"Germany",'MAIN DATA, Orders'!$N:$N,"Einzelplan 60",'MAIN DATA, Orders'!$G:$G,"Ammunition",'MAIN DATA, Orders'!$Q:$Q,$A41))</f>
        <v>0</v>
      </c>
    </row>
    <row r="42" spans="1:5">
      <c r="A42" s="72">
        <v>36</v>
      </c>
      <c r="B42" s="68">
        <v>44896</v>
      </c>
      <c r="C42" s="17">
        <f>(SUMIFS('MAIN DATA, Orders'!$I:$I,'MAIN DATA, Orders'!$C:$C,"Germany",'MAIN DATA, Orders'!$N:$N,"Einzelplan 14",'MAIN DATA, Orders'!$G:$G,"Ammunition",'MAIN DATA, Orders'!$Q:$Q,$A42))</f>
        <v>0</v>
      </c>
      <c r="D42" s="17">
        <f>(SUMIFS('MAIN DATA, Orders'!$I:$I,'MAIN DATA, Orders'!$C:$C,"Germany",'MAIN DATA, Orders'!$N:$N,"Sondervermögen",'MAIN DATA, Orders'!$G:$G,"Ammunition",'MAIN DATA, Orders'!$Q:$Q,$A42))</f>
        <v>0</v>
      </c>
      <c r="E42" s="17">
        <f>(SUMIFS('MAIN DATA, Orders'!$I:$I,'MAIN DATA, Orders'!$C:$C,"Germany",'MAIN DATA, Orders'!$N:$N,"Einzelplan 60",'MAIN DATA, Orders'!$G:$G,"Ammunition",'MAIN DATA, Orders'!$Q:$Q,$A42))</f>
        <v>0</v>
      </c>
    </row>
    <row r="43" spans="1:5">
      <c r="A43" s="72">
        <v>37</v>
      </c>
      <c r="B43" s="68">
        <v>44927</v>
      </c>
      <c r="C43" s="17">
        <f>(SUMIFS('MAIN DATA, Orders'!$I:$I,'MAIN DATA, Orders'!$C:$C,"Germany",'MAIN DATA, Orders'!$N:$N,"Einzelplan 14",'MAIN DATA, Orders'!$G:$G,"Ammunition",'MAIN DATA, Orders'!$Q:$Q,$A43))</f>
        <v>0</v>
      </c>
      <c r="D43" s="17">
        <f>(SUMIFS('MAIN DATA, Orders'!$I:$I,'MAIN DATA, Orders'!$C:$C,"Germany",'MAIN DATA, Orders'!$N:$N,"Sondervermögen",'MAIN DATA, Orders'!$G:$G,"Ammunition",'MAIN DATA, Orders'!$Q:$Q,$A43))</f>
        <v>0</v>
      </c>
      <c r="E43" s="17">
        <f>(SUMIFS('MAIN DATA, Orders'!$I:$I,'MAIN DATA, Orders'!$C:$C,"Germany",'MAIN DATA, Orders'!$N:$N,"Einzelplan 60",'MAIN DATA, Orders'!$G:$G,"Ammunition",'MAIN DATA, Orders'!$Q:$Q,$A43))</f>
        <v>0</v>
      </c>
    </row>
    <row r="44" spans="1:5">
      <c r="A44" s="72">
        <v>38</v>
      </c>
      <c r="B44" s="68">
        <v>44958</v>
      </c>
      <c r="C44" s="17">
        <f>(SUMIFS('MAIN DATA, Orders'!$I:$I,'MAIN DATA, Orders'!$C:$C,"Germany",'MAIN DATA, Orders'!$N:$N,"Einzelplan 14",'MAIN DATA, Orders'!$G:$G,"Ammunition",'MAIN DATA, Orders'!$Q:$Q,$A44))</f>
        <v>0</v>
      </c>
      <c r="D44" s="17">
        <f>(SUMIFS('MAIN DATA, Orders'!$I:$I,'MAIN DATA, Orders'!$C:$C,"Germany",'MAIN DATA, Orders'!$N:$N,"Sondervermögen",'MAIN DATA, Orders'!$G:$G,"Ammunition",'MAIN DATA, Orders'!$Q:$Q,$A44))</f>
        <v>0</v>
      </c>
      <c r="E44" s="17">
        <f>(SUMIFS('MAIN DATA, Orders'!$I:$I,'MAIN DATA, Orders'!$C:$C,"Germany",'MAIN DATA, Orders'!$N:$N,"Einzelplan 60",'MAIN DATA, Orders'!$G:$G,"Ammunition",'MAIN DATA, Orders'!$Q:$Q,$A44))</f>
        <v>300000</v>
      </c>
    </row>
    <row r="45" spans="1:5">
      <c r="A45" s="72">
        <v>39</v>
      </c>
      <c r="B45" s="68">
        <v>44986</v>
      </c>
      <c r="C45" s="17">
        <f>(SUMIFS('MAIN DATA, Orders'!$I:$I,'MAIN DATA, Orders'!$C:$C,"Germany",'MAIN DATA, Orders'!$N:$N,"Einzelplan 14",'MAIN DATA, Orders'!$G:$G,"Ammunition",'MAIN DATA, Orders'!$Q:$Q,$A45))</f>
        <v>0</v>
      </c>
      <c r="D45" s="17">
        <f>(SUMIFS('MAIN DATA, Orders'!$I:$I,'MAIN DATA, Orders'!$C:$C,"Germany",'MAIN DATA, Orders'!$N:$N,"Sondervermögen",'MAIN DATA, Orders'!$G:$G,"Ammunition",'MAIN DATA, Orders'!$Q:$Q,$A45))</f>
        <v>0</v>
      </c>
      <c r="E45" s="17">
        <f>(SUMIFS('MAIN DATA, Orders'!$I:$I,'MAIN DATA, Orders'!$C:$C,"Germany",'MAIN DATA, Orders'!$N:$N,"Einzelplan 60",'MAIN DATA, Orders'!$G:$G,"Ammunition",'MAIN DATA, Orders'!$Q:$Q,$A45))</f>
        <v>0</v>
      </c>
    </row>
    <row r="46" spans="1:5">
      <c r="A46" s="72">
        <v>40</v>
      </c>
      <c r="B46" s="68">
        <v>45017</v>
      </c>
      <c r="C46" s="17">
        <f>(SUMIFS('MAIN DATA, Orders'!$I:$I,'MAIN DATA, Orders'!$C:$C,"Germany",'MAIN DATA, Orders'!$N:$N,"Einzelplan 14",'MAIN DATA, Orders'!$G:$G,"Ammunition",'MAIN DATA, Orders'!$Q:$Q,$A46))</f>
        <v>0</v>
      </c>
      <c r="D46" s="17">
        <f>(SUMIFS('MAIN DATA, Orders'!$I:$I,'MAIN DATA, Orders'!$C:$C,"Germany",'MAIN DATA, Orders'!$N:$N,"Sondervermögen",'MAIN DATA, Orders'!$G:$G,"Ammunition",'MAIN DATA, Orders'!$Q:$Q,$A46))</f>
        <v>0</v>
      </c>
      <c r="E46" s="17">
        <f>(SUMIFS('MAIN DATA, Orders'!$I:$I,'MAIN DATA, Orders'!$C:$C,"Germany",'MAIN DATA, Orders'!$N:$N,"Einzelplan 60",'MAIN DATA, Orders'!$G:$G,"Ammunition",'MAIN DATA, Orders'!$Q:$Q,$A46))</f>
        <v>0</v>
      </c>
    </row>
    <row r="47" spans="1:5">
      <c r="A47" s="72">
        <v>41</v>
      </c>
      <c r="B47" s="68">
        <v>45047</v>
      </c>
      <c r="C47" s="17">
        <f>(SUMIFS('MAIN DATA, Orders'!$I:$I,'MAIN DATA, Orders'!$C:$C,"Germany",'MAIN DATA, Orders'!$N:$N,"Einzelplan 14",'MAIN DATA, Orders'!$G:$G,"Ammunition",'MAIN DATA, Orders'!$Q:$Q,$A47))</f>
        <v>0</v>
      </c>
      <c r="D47" s="17">
        <f>(SUMIFS('MAIN DATA, Orders'!$I:$I,'MAIN DATA, Orders'!$C:$C,"Germany",'MAIN DATA, Orders'!$N:$N,"Sondervermögen",'MAIN DATA, Orders'!$G:$G,"Ammunition",'MAIN DATA, Orders'!$Q:$Q,$A47))</f>
        <v>0</v>
      </c>
      <c r="E47" s="17">
        <f>(SUMIFS('MAIN DATA, Orders'!$I:$I,'MAIN DATA, Orders'!$C:$C,"Germany",'MAIN DATA, Orders'!$N:$N,"Einzelplan 60",'MAIN DATA, Orders'!$G:$G,"Ammunition",'MAIN DATA, Orders'!$Q:$Q,$A47))</f>
        <v>0</v>
      </c>
    </row>
    <row r="48" spans="1:5">
      <c r="A48" s="72">
        <v>42</v>
      </c>
      <c r="B48" s="68">
        <v>45078</v>
      </c>
      <c r="C48" s="17">
        <f>(SUMIFS('MAIN DATA, Orders'!$I:$I,'MAIN DATA, Orders'!$C:$C,"Germany",'MAIN DATA, Orders'!$N:$N,"Einzelplan 14",'MAIN DATA, Orders'!$G:$G,"Ammunition",'MAIN DATA, Orders'!$Q:$Q,$A48))</f>
        <v>0</v>
      </c>
      <c r="D48" s="17">
        <f>(SUMIFS('MAIN DATA, Orders'!$I:$I,'MAIN DATA, Orders'!$C:$C,"Germany",'MAIN DATA, Orders'!$N:$N,"Sondervermögen",'MAIN DATA, Orders'!$G:$G,"Ammunition",'MAIN DATA, Orders'!$Q:$Q,$A48))</f>
        <v>0</v>
      </c>
      <c r="E48" s="17">
        <f>(SUMIFS('MAIN DATA, Orders'!$I:$I,'MAIN DATA, Orders'!$C:$C,"Germany",'MAIN DATA, Orders'!$N:$N,"Einzelplan 60",'MAIN DATA, Orders'!$G:$G,"Ammunition",'MAIN DATA, Orders'!$Q:$Q,$A48))</f>
        <v>0</v>
      </c>
    </row>
    <row r="49" spans="1:5">
      <c r="A49" s="72">
        <v>43</v>
      </c>
      <c r="B49" s="68">
        <v>45108</v>
      </c>
      <c r="C49" s="17">
        <f>(SUMIFS('MAIN DATA, Orders'!$I:$I,'MAIN DATA, Orders'!$C:$C,"Germany",'MAIN DATA, Orders'!$N:$N,"Einzelplan 14",'MAIN DATA, Orders'!$G:$G,"Ammunition",'MAIN DATA, Orders'!$Q:$Q,$A49))</f>
        <v>4700</v>
      </c>
      <c r="D49" s="17">
        <f>(SUMIFS('MAIN DATA, Orders'!$I:$I,'MAIN DATA, Orders'!$C:$C,"Germany",'MAIN DATA, Orders'!$N:$N,"Sondervermögen",'MAIN DATA, Orders'!$G:$G,"Ammunition",'MAIN DATA, Orders'!$Q:$Q,$A49))</f>
        <v>0</v>
      </c>
      <c r="E49" s="17">
        <f>(SUMIFS('MAIN DATA, Orders'!$I:$I,'MAIN DATA, Orders'!$C:$C,"Germany",'MAIN DATA, Orders'!$N:$N,"Einzelplan 60",'MAIN DATA, Orders'!$G:$G,"Ammunition",'MAIN DATA, Orders'!$Q:$Q,$A49))</f>
        <v>113000</v>
      </c>
    </row>
    <row r="50" spans="1:5">
      <c r="A50" s="72">
        <v>44</v>
      </c>
      <c r="B50" s="68">
        <v>45139</v>
      </c>
      <c r="C50" s="17">
        <f>(SUMIFS('MAIN DATA, Orders'!$I:$I,'MAIN DATA, Orders'!$C:$C,"Germany",'MAIN DATA, Orders'!$N:$N,"Einzelplan 14",'MAIN DATA, Orders'!$G:$G,"Ammunition",'MAIN DATA, Orders'!$Q:$Q,$A50))</f>
        <v>0</v>
      </c>
      <c r="D50" s="17">
        <f>(SUMIFS('MAIN DATA, Orders'!$I:$I,'MAIN DATA, Orders'!$C:$C,"Germany",'MAIN DATA, Orders'!$N:$N,"Sondervermögen",'MAIN DATA, Orders'!$G:$G,"Ammunition",'MAIN DATA, Orders'!$Q:$Q,$A50))</f>
        <v>0</v>
      </c>
      <c r="E50" s="17">
        <f>(SUMIFS('MAIN DATA, Orders'!$I:$I,'MAIN DATA, Orders'!$C:$C,"Germany",'MAIN DATA, Orders'!$N:$N,"Einzelplan 60",'MAIN DATA, Orders'!$G:$G,"Ammunition",'MAIN DATA, Orders'!$Q:$Q,$A50))</f>
        <v>0</v>
      </c>
    </row>
    <row r="51" spans="1:5">
      <c r="A51" s="72">
        <v>45</v>
      </c>
      <c r="B51" s="68">
        <v>45170</v>
      </c>
      <c r="C51" s="17">
        <f>(SUMIFS('MAIN DATA, Orders'!$I:$I,'MAIN DATA, Orders'!$C:$C,"Germany",'MAIN DATA, Orders'!$N:$N,"Einzelplan 14",'MAIN DATA, Orders'!$G:$G,"Ammunition",'MAIN DATA, Orders'!$Q:$Q,$A51))</f>
        <v>0</v>
      </c>
      <c r="D51" s="17">
        <f>(SUMIFS('MAIN DATA, Orders'!$I:$I,'MAIN DATA, Orders'!$C:$C,"Germany",'MAIN DATA, Orders'!$N:$N,"Sondervermögen",'MAIN DATA, Orders'!$G:$G,"Ammunition",'MAIN DATA, Orders'!$Q:$Q,$A51))</f>
        <v>0</v>
      </c>
      <c r="E51" s="17">
        <f>(SUMIFS('MAIN DATA, Orders'!$I:$I,'MAIN DATA, Orders'!$C:$C,"Germany",'MAIN DATA, Orders'!$N:$N,"Einzelplan 60",'MAIN DATA, Orders'!$G:$G,"Ammunition",'MAIN DATA, Orders'!$Q:$Q,$A51))</f>
        <v>0</v>
      </c>
    </row>
    <row r="52" spans="1:5">
      <c r="A52" s="72">
        <v>46</v>
      </c>
      <c r="B52" s="68">
        <v>45200</v>
      </c>
      <c r="C52" s="17">
        <f>(SUMIFS('MAIN DATA, Orders'!$I:$I,'MAIN DATA, Orders'!$C:$C,"Germany",'MAIN DATA, Orders'!$N:$N,"Einzelplan 14",'MAIN DATA, Orders'!$G:$G,"Ammunition",'MAIN DATA, Orders'!$Q:$Q,$A52))</f>
        <v>0</v>
      </c>
      <c r="D52" s="17">
        <f>(SUMIFS('MAIN DATA, Orders'!$I:$I,'MAIN DATA, Orders'!$C:$C,"Germany",'MAIN DATA, Orders'!$N:$N,"Sondervermögen",'MAIN DATA, Orders'!$G:$G,"Ammunition",'MAIN DATA, Orders'!$Q:$Q,$A52))</f>
        <v>0</v>
      </c>
      <c r="E52" s="17">
        <f>(SUMIFS('MAIN DATA, Orders'!$I:$I,'MAIN DATA, Orders'!$C:$C,"Germany",'MAIN DATA, Orders'!$N:$N,"Einzelplan 60",'MAIN DATA, Orders'!$G:$G,"Ammunition",'MAIN DATA, Orders'!$Q:$Q,$A52))</f>
        <v>0</v>
      </c>
    </row>
    <row r="53" spans="1:5">
      <c r="A53" s="72">
        <v>47</v>
      </c>
      <c r="B53" s="68">
        <v>45231</v>
      </c>
      <c r="C53" s="17">
        <f>(SUMIFS('MAIN DATA, Orders'!$I:$I,'MAIN DATA, Orders'!$C:$C,"Germany",'MAIN DATA, Orders'!$N:$N,"Einzelplan 14",'MAIN DATA, Orders'!$G:$G,"Ammunition",'MAIN DATA, Orders'!$Q:$Q,$A53))</f>
        <v>0</v>
      </c>
      <c r="D53" s="17">
        <f>(SUMIFS('MAIN DATA, Orders'!$I:$I,'MAIN DATA, Orders'!$C:$C,"Germany",'MAIN DATA, Orders'!$N:$N,"Sondervermögen",'MAIN DATA, Orders'!$G:$G,"Ammunition",'MAIN DATA, Orders'!$Q:$Q,$A53))</f>
        <v>0</v>
      </c>
      <c r="E53" s="17">
        <f>(SUMIFS('MAIN DATA, Orders'!$I:$I,'MAIN DATA, Orders'!$C:$C,"Germany",'MAIN DATA, Orders'!$N:$N,"Einzelplan 60",'MAIN DATA, Orders'!$G:$G,"Ammunition",'MAIN DATA, Orders'!$Q:$Q,$A53))</f>
        <v>0</v>
      </c>
    </row>
    <row r="54" spans="1:5">
      <c r="A54" s="72">
        <v>48</v>
      </c>
      <c r="B54" s="68">
        <v>45261</v>
      </c>
      <c r="C54" s="17">
        <f>(SUMIFS('MAIN DATA, Orders'!$I:$I,'MAIN DATA, Orders'!$C:$C,"Germany",'MAIN DATA, Orders'!$N:$N,"Einzelplan 14",'MAIN DATA, Orders'!$G:$G,"Ammunition",'MAIN DATA, Orders'!$Q:$Q,$A54))</f>
        <v>0</v>
      </c>
      <c r="D54" s="17">
        <f>(SUMIFS('MAIN DATA, Orders'!$I:$I,'MAIN DATA, Orders'!$C:$C,"Germany",'MAIN DATA, Orders'!$N:$N,"Sondervermögen",'MAIN DATA, Orders'!$G:$G,"Ammunition",'MAIN DATA, Orders'!$Q:$Q,$A54))</f>
        <v>0</v>
      </c>
      <c r="E54" s="17">
        <f>(SUMIFS('MAIN DATA, Orders'!$I:$I,'MAIN DATA, Orders'!$C:$C,"Germany",'MAIN DATA, Orders'!$N:$N,"Einzelplan 60",'MAIN DATA, Orders'!$G:$G,"Ammunition",'MAIN DATA, Orders'!$Q:$Q,$A54))</f>
        <v>68000</v>
      </c>
    </row>
    <row r="55" spans="1:5">
      <c r="A55" s="72">
        <v>49</v>
      </c>
      <c r="B55" s="68">
        <v>45292</v>
      </c>
      <c r="C55" s="17">
        <f>(SUMIFS('MAIN DATA, Orders'!$I:$I,'MAIN DATA, Orders'!$C:$C,"Germany",'MAIN DATA, Orders'!$N:$N,"Einzelplan 14",'MAIN DATA, Orders'!$G:$G,"Ammunition",'MAIN DATA, Orders'!$Q:$Q,$A55))</f>
        <v>0</v>
      </c>
      <c r="D55" s="17">
        <f>(SUMIFS('MAIN DATA, Orders'!$I:$I,'MAIN DATA, Orders'!$C:$C,"Germany",'MAIN DATA, Orders'!$N:$N,"Sondervermögen",'MAIN DATA, Orders'!$G:$G,"Ammunition",'MAIN DATA, Orders'!$Q:$Q,$A55))</f>
        <v>0</v>
      </c>
      <c r="E55" s="17">
        <f>(SUMIFS('MAIN DATA, Orders'!$I:$I,'MAIN DATA, Orders'!$C:$C,"Germany",'MAIN DATA, Orders'!$N:$N,"Einzelplan 60",'MAIN DATA, Orders'!$G:$G,"Ammunition",'MAIN DATA, Orders'!$Q:$Q,$A55))</f>
        <v>0</v>
      </c>
    </row>
    <row r="56" spans="1:5">
      <c r="A56" s="72">
        <v>50</v>
      </c>
      <c r="B56" s="68">
        <v>45323</v>
      </c>
      <c r="C56" s="17">
        <f>(SUMIFS('MAIN DATA, Orders'!$I:$I,'MAIN DATA, Orders'!$C:$C,"Germany",'MAIN DATA, Orders'!$N:$N,"Einzelplan 14",'MAIN DATA, Orders'!$G:$G,"Ammunition",'MAIN DATA, Orders'!$Q:$Q,$A56))</f>
        <v>0</v>
      </c>
      <c r="D56" s="17">
        <f>(SUMIFS('MAIN DATA, Orders'!$I:$I,'MAIN DATA, Orders'!$C:$C,"Germany",'MAIN DATA, Orders'!$N:$N,"Sondervermögen",'MAIN DATA, Orders'!$G:$G,"Ammunition",'MAIN DATA, Orders'!$Q:$Q,$A56))</f>
        <v>0</v>
      </c>
      <c r="E56" s="17">
        <f>(SUMIFS('MAIN DATA, Orders'!$I:$I,'MAIN DATA, Orders'!$C:$C,"Germany",'MAIN DATA, Orders'!$N:$N,"Einzelplan 60",'MAIN DATA, Orders'!$G:$G,"Ammunition",'MAIN DATA, Orders'!$Q:$Q,$A56))</f>
        <v>0</v>
      </c>
    </row>
    <row r="57" spans="1:5">
      <c r="A57" s="72">
        <v>51</v>
      </c>
      <c r="B57" s="68">
        <v>45352</v>
      </c>
      <c r="C57" s="17">
        <f>(SUMIFS('MAIN DATA, Orders'!$I:$I,'MAIN DATA, Orders'!$C:$C,"Germany",'MAIN DATA, Orders'!$N:$N,"Einzelplan 14",'MAIN DATA, Orders'!$G:$G,"Ammunition",'MAIN DATA, Orders'!$Q:$Q,$A57))</f>
        <v>0</v>
      </c>
      <c r="D57" s="17">
        <f>(SUMIFS('MAIN DATA, Orders'!$I:$I,'MAIN DATA, Orders'!$C:$C,"Germany",'MAIN DATA, Orders'!$N:$N,"Sondervermögen",'MAIN DATA, Orders'!$G:$G,"Ammunition",'MAIN DATA, Orders'!$Q:$Q,$A57))</f>
        <v>0</v>
      </c>
      <c r="E57" s="17">
        <f>(SUMIFS('MAIN DATA, Orders'!$I:$I,'MAIN DATA, Orders'!$C:$C,"Germany",'MAIN DATA, Orders'!$N:$N,"Einzelplan 60",'MAIN DATA, Orders'!$G:$G,"Ammunition",'MAIN DATA, Orders'!$Q:$Q,$A57))</f>
        <v>0</v>
      </c>
    </row>
    <row r="58" spans="1:5">
      <c r="A58" s="72">
        <v>52</v>
      </c>
      <c r="B58" s="68">
        <v>45383</v>
      </c>
      <c r="C58" s="17">
        <f>(SUMIFS('MAIN DATA, Orders'!$I:$I,'MAIN DATA, Orders'!$C:$C,"Germany",'MAIN DATA, Orders'!$N:$N,"Einzelplan 14",'MAIN DATA, Orders'!$G:$G,"Ammunition",'MAIN DATA, Orders'!$Q:$Q,$A58))</f>
        <v>0</v>
      </c>
      <c r="D58" s="17">
        <f>(SUMIFS('MAIN DATA, Orders'!$I:$I,'MAIN DATA, Orders'!$C:$C,"Germany",'MAIN DATA, Orders'!$N:$N,"Sondervermögen",'MAIN DATA, Orders'!$G:$G,"Ammunition",'MAIN DATA, Orders'!$Q:$Q,$A58))</f>
        <v>15180</v>
      </c>
      <c r="E58" s="17">
        <f>(SUMIFS('MAIN DATA, Orders'!$I:$I,'MAIN DATA, Orders'!$C:$C,"Germany",'MAIN DATA, Orders'!$N:$N,"Einzelplan 60",'MAIN DATA, Orders'!$G:$G,"Ammunition",'MAIN DATA, Orders'!$Q:$Q,$A58))</f>
        <v>0</v>
      </c>
    </row>
    <row r="59" spans="1:5">
      <c r="A59" s="72">
        <v>53</v>
      </c>
      <c r="B59" s="68">
        <v>45413</v>
      </c>
      <c r="C59" s="17">
        <f>(SUMIFS('MAIN DATA, Orders'!$I:$I,'MAIN DATA, Orders'!$C:$C,"Germany",'MAIN DATA, Orders'!$N:$N,"Einzelplan 14",'MAIN DATA, Orders'!$G:$G,"Ammunition",'MAIN DATA, Orders'!$Q:$Q,$A59))</f>
        <v>0</v>
      </c>
      <c r="D59" s="17">
        <f>(SUMIFS('MAIN DATA, Orders'!$I:$I,'MAIN DATA, Orders'!$C:$C,"Germany",'MAIN DATA, Orders'!$N:$N,"Sondervermögen",'MAIN DATA, Orders'!$G:$G,"Ammunition",'MAIN DATA, Orders'!$Q:$Q,$A59))</f>
        <v>0</v>
      </c>
      <c r="E59" s="17">
        <f>(SUMIFS('MAIN DATA, Orders'!$I:$I,'MAIN DATA, Orders'!$C:$C,"Germany",'MAIN DATA, Orders'!$N:$N,"Einzelplan 60",'MAIN DATA, Orders'!$G:$G,"Ammunition",'MAIN DATA, Orders'!$Q:$Q,$A59))</f>
        <v>0</v>
      </c>
    </row>
    <row r="60" spans="1:5">
      <c r="A60" s="72">
        <v>54</v>
      </c>
      <c r="B60" s="68">
        <v>45444</v>
      </c>
      <c r="C60" s="17">
        <f>(SUMIFS('MAIN DATA, Orders'!$I:$I,'MAIN DATA, Orders'!$C:$C,"Germany",'MAIN DATA, Orders'!$N:$N,"Einzelplan 14",'MAIN DATA, Orders'!$G:$G,"Ammunition",'MAIN DATA, Orders'!$Q:$Q,$A60))</f>
        <v>0</v>
      </c>
      <c r="D60" s="17">
        <f>(SUMIFS('MAIN DATA, Orders'!$I:$I,'MAIN DATA, Orders'!$C:$C,"Germany",'MAIN DATA, Orders'!$N:$N,"Sondervermögen",'MAIN DATA, Orders'!$G:$G,"Ammunition",'MAIN DATA, Orders'!$Q:$Q,$A60))</f>
        <v>300000</v>
      </c>
      <c r="E60" s="17">
        <f>(SUMIFS('MAIN DATA, Orders'!$I:$I,'MAIN DATA, Orders'!$C:$C,"Germany",'MAIN DATA, Orders'!$N:$N,"Einzelplan 60",'MAIN DATA, Orders'!$G:$G,"Ammunition",'MAIN DATA, Orders'!$Q:$Q,$A60))</f>
        <v>0</v>
      </c>
    </row>
    <row r="61" spans="1:5">
      <c r="A61" s="72">
        <v>55</v>
      </c>
      <c r="B61" s="155">
        <v>45474</v>
      </c>
      <c r="C61" s="60">
        <f>(SUMIFS('MAIN DATA, Orders'!$I:$I,'MAIN DATA, Orders'!$C:$C,"Germany",'MAIN DATA, Orders'!$N:$N,"Einzelplan 14",'MAIN DATA, Orders'!$G:$G,"Ammunition",'MAIN DATA, Orders'!$Q:$Q,$A61))</f>
        <v>0</v>
      </c>
      <c r="D61" s="60">
        <f>(SUMIFS('MAIN DATA, Orders'!$I:$I,'MAIN DATA, Orders'!$C:$C,"Germany",'MAIN DATA, Orders'!$N:$N,"Sondervermögen",'MAIN DATA, Orders'!$G:$G,"Ammunition",'MAIN DATA, Orders'!$Q:$Q,$A61))</f>
        <v>0</v>
      </c>
      <c r="E61" s="60">
        <f>(SUMIFS('MAIN DATA, Orders'!$I:$I,'MAIN DATA, Orders'!$C:$C,"Germany",'MAIN DATA, Orders'!$N:$N,"Einzelplan 60",'MAIN DATA, Orders'!$G:$G,"Ammunition",'MAIN DATA, Orders'!$Q:$Q,$A61))</f>
        <v>0</v>
      </c>
    </row>
    <row r="62" spans="1:5">
      <c r="A62" s="199"/>
      <c r="B62" s="199"/>
      <c r="C62" s="14"/>
      <c r="D62" s="14"/>
      <c r="E62" s="14"/>
    </row>
    <row r="63" spans="1:5">
      <c r="A63" s="199"/>
      <c r="B63" s="69" t="s">
        <v>1431</v>
      </c>
      <c r="C63" s="71">
        <f>SUM(C7:C61)</f>
        <v>65415</v>
      </c>
      <c r="D63" s="71">
        <f>SUM(D7:D61)</f>
        <v>315180</v>
      </c>
      <c r="E63" s="71">
        <f>SUM(E7:E61)</f>
        <v>481000</v>
      </c>
    </row>
  </sheetData>
  <mergeCells count="1">
    <mergeCell ref="B4:F4"/>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2014B-7150-4610-823E-94370D4A9729}">
  <sheetPr>
    <tabColor theme="9" tint="0.59999389629810485"/>
  </sheetPr>
  <dimension ref="A2:F63"/>
  <sheetViews>
    <sheetView workbookViewId="0"/>
  </sheetViews>
  <sheetFormatPr defaultColWidth="8.69921875" defaultRowHeight="15.6"/>
  <cols>
    <col min="1" max="1" width="8.69921875" style="1"/>
    <col min="2" max="2" width="13.5" style="1" customWidth="1"/>
    <col min="3" max="3" width="20.69921875" style="1" bestFit="1" customWidth="1"/>
    <col min="4" max="4" width="23.69921875" style="1" bestFit="1" customWidth="1"/>
    <col min="5" max="5" width="20.69921875" style="1" bestFit="1" customWidth="1"/>
    <col min="6" max="16384" width="8.69921875" style="1"/>
  </cols>
  <sheetData>
    <row r="2" spans="1:6" ht="25.2">
      <c r="B2" s="67" t="s">
        <v>1660</v>
      </c>
    </row>
    <row r="4" spans="1:6" ht="130.19999999999999" customHeight="1">
      <c r="B4" s="207" t="s">
        <v>1661</v>
      </c>
      <c r="C4" s="207"/>
      <c r="D4" s="207"/>
      <c r="E4" s="207"/>
      <c r="F4" s="207"/>
    </row>
    <row r="6" spans="1:6" ht="21" customHeight="1">
      <c r="B6" s="161" t="s">
        <v>1404</v>
      </c>
      <c r="C6" s="162" t="s">
        <v>165</v>
      </c>
      <c r="D6" s="162" t="s">
        <v>665</v>
      </c>
      <c r="E6" s="162" t="s">
        <v>784</v>
      </c>
    </row>
    <row r="7" spans="1:6">
      <c r="A7" s="72">
        <v>1</v>
      </c>
      <c r="B7" s="68">
        <v>43831</v>
      </c>
      <c r="C7" s="61">
        <f>(SUMIFS('MAIN DATA, Orders'!$M:$M,'MAIN DATA, Orders'!$C:$C,"Germany",'MAIN DATA, Orders'!$N:$N,"Einzelplan 14",'MAIN DATA, Orders'!$G:$G,"Artillery",'MAIN DATA, Orders'!$Q:$Q,$A7)/1000000000)</f>
        <v>0</v>
      </c>
      <c r="D7" s="61">
        <f>(SUMIFS('MAIN DATA, Orders'!$M:$M,'MAIN DATA, Orders'!$C:$C,"Germany",'MAIN DATA, Orders'!$N:$N,"Sondervermögen",'MAIN DATA, Orders'!$G:$G,"Artillery",'MAIN DATA, Orders'!$Q:$Q,$A7)/1000000000)</f>
        <v>0</v>
      </c>
      <c r="E7" s="61">
        <f>(SUMIFS('MAIN DATA, Orders'!$M:$M,'MAIN DATA, Orders'!$C:$C,"Germany",'MAIN DATA, Orders'!$N:$N,"Einzelplan 60",'MAIN DATA, Orders'!$G:$G,"Artillery",'MAIN DATA, Orders'!$Q:$Q,$A7)/1000000000)</f>
        <v>0</v>
      </c>
    </row>
    <row r="8" spans="1:6">
      <c r="A8" s="72">
        <v>2</v>
      </c>
      <c r="B8" s="68">
        <v>43862</v>
      </c>
      <c r="C8" s="61">
        <f>(SUMIFS('MAIN DATA, Orders'!$M:$M,'MAIN DATA, Orders'!$C:$C,"Germany",'MAIN DATA, Orders'!$N:$N,"Einzelplan 14",'MAIN DATA, Orders'!$G:$G,"Artillery",'MAIN DATA, Orders'!$Q:$Q,$A8)/1000000000)</f>
        <v>0</v>
      </c>
      <c r="D8" s="61">
        <f>(SUMIFS('MAIN DATA, Orders'!$M:$M,'MAIN DATA, Orders'!$C:$C,"Germany",'MAIN DATA, Orders'!$N:$N,"Sondervermögen",'MAIN DATA, Orders'!$G:$G,"Artillery",'MAIN DATA, Orders'!$Q:$Q,$A8)/1000000000)</f>
        <v>0</v>
      </c>
      <c r="E8" s="61">
        <f>(SUMIFS('MAIN DATA, Orders'!$M:$M,'MAIN DATA, Orders'!$C:$C,"Germany",'MAIN DATA, Orders'!$N:$N,"Einzelplan 60",'MAIN DATA, Orders'!$G:$G,"Artillery",'MAIN DATA, Orders'!$Q:$Q,$A8)/1000000000)</f>
        <v>0</v>
      </c>
    </row>
    <row r="9" spans="1:6">
      <c r="A9" s="72">
        <v>3</v>
      </c>
      <c r="B9" s="68">
        <v>43891</v>
      </c>
      <c r="C9" s="61">
        <f>(SUMIFS('MAIN DATA, Orders'!$M:$M,'MAIN DATA, Orders'!$C:$C,"Germany",'MAIN DATA, Orders'!$N:$N,"Einzelplan 14",'MAIN DATA, Orders'!$G:$G,"Artillery",'MAIN DATA, Orders'!$Q:$Q,$A9)/1000000000)</f>
        <v>0</v>
      </c>
      <c r="D9" s="61">
        <f>(SUMIFS('MAIN DATA, Orders'!$M:$M,'MAIN DATA, Orders'!$C:$C,"Germany",'MAIN DATA, Orders'!$N:$N,"Sondervermögen",'MAIN DATA, Orders'!$G:$G,"Artillery",'MAIN DATA, Orders'!$Q:$Q,$A9)/1000000000)</f>
        <v>0</v>
      </c>
      <c r="E9" s="61">
        <f>(SUMIFS('MAIN DATA, Orders'!$M:$M,'MAIN DATA, Orders'!$C:$C,"Germany",'MAIN DATA, Orders'!$N:$N,"Einzelplan 60",'MAIN DATA, Orders'!$G:$G,"Artillery",'MAIN DATA, Orders'!$Q:$Q,$A9)/1000000000)</f>
        <v>0</v>
      </c>
    </row>
    <row r="10" spans="1:6">
      <c r="A10" s="72">
        <v>4</v>
      </c>
      <c r="B10" s="68">
        <v>43922</v>
      </c>
      <c r="C10" s="61">
        <f>(SUMIFS('MAIN DATA, Orders'!$M:$M,'MAIN DATA, Orders'!$C:$C,"Germany",'MAIN DATA, Orders'!$N:$N,"Einzelplan 14",'MAIN DATA, Orders'!$G:$G,"Artillery",'MAIN DATA, Orders'!$Q:$Q,$A10)/1000000000)</f>
        <v>0</v>
      </c>
      <c r="D10" s="61">
        <f>(SUMIFS('MAIN DATA, Orders'!$M:$M,'MAIN DATA, Orders'!$C:$C,"Germany",'MAIN DATA, Orders'!$N:$N,"Sondervermögen",'MAIN DATA, Orders'!$G:$G,"Artillery",'MAIN DATA, Orders'!$Q:$Q,$A10)/1000000000)</f>
        <v>0</v>
      </c>
      <c r="E10" s="61">
        <f>(SUMIFS('MAIN DATA, Orders'!$M:$M,'MAIN DATA, Orders'!$C:$C,"Germany",'MAIN DATA, Orders'!$N:$N,"Einzelplan 60",'MAIN DATA, Orders'!$G:$G,"Artillery",'MAIN DATA, Orders'!$Q:$Q,$A10)/1000000000)</f>
        <v>0</v>
      </c>
    </row>
    <row r="11" spans="1:6">
      <c r="A11" s="72">
        <v>5</v>
      </c>
      <c r="B11" s="68">
        <v>43952</v>
      </c>
      <c r="C11" s="61">
        <f>(SUMIFS('MAIN DATA, Orders'!$M:$M,'MAIN DATA, Orders'!$C:$C,"Germany",'MAIN DATA, Orders'!$N:$N,"Einzelplan 14",'MAIN DATA, Orders'!$G:$G,"Artillery",'MAIN DATA, Orders'!$Q:$Q,$A11)/1000000000)</f>
        <v>0</v>
      </c>
      <c r="D11" s="61">
        <f>(SUMIFS('MAIN DATA, Orders'!$M:$M,'MAIN DATA, Orders'!$C:$C,"Germany",'MAIN DATA, Orders'!$N:$N,"Sondervermögen",'MAIN DATA, Orders'!$G:$G,"Artillery",'MAIN DATA, Orders'!$Q:$Q,$A11)/1000000000)</f>
        <v>0</v>
      </c>
      <c r="E11" s="61">
        <f>(SUMIFS('MAIN DATA, Orders'!$M:$M,'MAIN DATA, Orders'!$C:$C,"Germany",'MAIN DATA, Orders'!$N:$N,"Einzelplan 60",'MAIN DATA, Orders'!$G:$G,"Artillery",'MAIN DATA, Orders'!$Q:$Q,$A11)/1000000000)</f>
        <v>0</v>
      </c>
    </row>
    <row r="12" spans="1:6">
      <c r="A12" s="72">
        <v>6</v>
      </c>
      <c r="B12" s="68">
        <v>43983</v>
      </c>
      <c r="C12" s="61">
        <f>(SUMIFS('MAIN DATA, Orders'!$M:$M,'MAIN DATA, Orders'!$C:$C,"Germany",'MAIN DATA, Orders'!$N:$N,"Einzelplan 14",'MAIN DATA, Orders'!$G:$G,"Artillery",'MAIN DATA, Orders'!$Q:$Q,$A12)/1000000000)</f>
        <v>0</v>
      </c>
      <c r="D12" s="61">
        <f>(SUMIFS('MAIN DATA, Orders'!$M:$M,'MAIN DATA, Orders'!$C:$C,"Germany",'MAIN DATA, Orders'!$N:$N,"Sondervermögen",'MAIN DATA, Orders'!$G:$G,"Artillery",'MAIN DATA, Orders'!$Q:$Q,$A12)/1000000000)</f>
        <v>0</v>
      </c>
      <c r="E12" s="61">
        <f>(SUMIFS('MAIN DATA, Orders'!$M:$M,'MAIN DATA, Orders'!$C:$C,"Germany",'MAIN DATA, Orders'!$N:$N,"Einzelplan 60",'MAIN DATA, Orders'!$G:$G,"Artillery",'MAIN DATA, Orders'!$Q:$Q,$A12)/1000000000)</f>
        <v>0</v>
      </c>
    </row>
    <row r="13" spans="1:6">
      <c r="A13" s="72">
        <v>7</v>
      </c>
      <c r="B13" s="68">
        <v>44013</v>
      </c>
      <c r="C13" s="61">
        <f>(SUMIFS('MAIN DATA, Orders'!$M:$M,'MAIN DATA, Orders'!$C:$C,"Germany",'MAIN DATA, Orders'!$N:$N,"Einzelplan 14",'MAIN DATA, Orders'!$G:$G,"Artillery",'MAIN DATA, Orders'!$Q:$Q,$A13)/1000000000)</f>
        <v>0</v>
      </c>
      <c r="D13" s="61">
        <f>(SUMIFS('MAIN DATA, Orders'!$M:$M,'MAIN DATA, Orders'!$C:$C,"Germany",'MAIN DATA, Orders'!$N:$N,"Sondervermögen",'MAIN DATA, Orders'!$G:$G,"Artillery",'MAIN DATA, Orders'!$Q:$Q,$A13)/1000000000)</f>
        <v>0</v>
      </c>
      <c r="E13" s="61">
        <f>(SUMIFS('MAIN DATA, Orders'!$M:$M,'MAIN DATA, Orders'!$C:$C,"Germany",'MAIN DATA, Orders'!$N:$N,"Einzelplan 60",'MAIN DATA, Orders'!$G:$G,"Artillery",'MAIN DATA, Orders'!$Q:$Q,$A13)/1000000000)</f>
        <v>0</v>
      </c>
    </row>
    <row r="14" spans="1:6">
      <c r="A14" s="72">
        <v>8</v>
      </c>
      <c r="B14" s="68">
        <v>44044</v>
      </c>
      <c r="C14" s="61">
        <f>(SUMIFS('MAIN DATA, Orders'!$M:$M,'MAIN DATA, Orders'!$C:$C,"Germany",'MAIN DATA, Orders'!$N:$N,"Einzelplan 14",'MAIN DATA, Orders'!$G:$G,"Artillery",'MAIN DATA, Orders'!$Q:$Q,$A14)/1000000000)</f>
        <v>0</v>
      </c>
      <c r="D14" s="61">
        <f>(SUMIFS('MAIN DATA, Orders'!$M:$M,'MAIN DATA, Orders'!$C:$C,"Germany",'MAIN DATA, Orders'!$N:$N,"Sondervermögen",'MAIN DATA, Orders'!$G:$G,"Artillery",'MAIN DATA, Orders'!$Q:$Q,$A14)/1000000000)</f>
        <v>0</v>
      </c>
      <c r="E14" s="61">
        <f>(SUMIFS('MAIN DATA, Orders'!$M:$M,'MAIN DATA, Orders'!$C:$C,"Germany",'MAIN DATA, Orders'!$N:$N,"Einzelplan 60",'MAIN DATA, Orders'!$G:$G,"Artillery",'MAIN DATA, Orders'!$Q:$Q,$A14)/1000000000)</f>
        <v>0</v>
      </c>
    </row>
    <row r="15" spans="1:6">
      <c r="A15" s="72">
        <v>9</v>
      </c>
      <c r="B15" s="68">
        <v>44075</v>
      </c>
      <c r="C15" s="61">
        <f>(SUMIFS('MAIN DATA, Orders'!$M:$M,'MAIN DATA, Orders'!$C:$C,"Germany",'MAIN DATA, Orders'!$N:$N,"Einzelplan 14",'MAIN DATA, Orders'!$G:$G,"Artillery",'MAIN DATA, Orders'!$Q:$Q,$A15)/1000000000)</f>
        <v>0</v>
      </c>
      <c r="D15" s="61">
        <f>(SUMIFS('MAIN DATA, Orders'!$M:$M,'MAIN DATA, Orders'!$C:$C,"Germany",'MAIN DATA, Orders'!$N:$N,"Sondervermögen",'MAIN DATA, Orders'!$G:$G,"Artillery",'MAIN DATA, Orders'!$Q:$Q,$A15)/1000000000)</f>
        <v>0</v>
      </c>
      <c r="E15" s="61">
        <f>(SUMIFS('MAIN DATA, Orders'!$M:$M,'MAIN DATA, Orders'!$C:$C,"Germany",'MAIN DATA, Orders'!$N:$N,"Einzelplan 60",'MAIN DATA, Orders'!$G:$G,"Artillery",'MAIN DATA, Orders'!$Q:$Q,$A15)/1000000000)</f>
        <v>0</v>
      </c>
    </row>
    <row r="16" spans="1:6">
      <c r="A16" s="72">
        <v>10</v>
      </c>
      <c r="B16" s="68">
        <v>44105</v>
      </c>
      <c r="C16" s="61">
        <f>(SUMIFS('MAIN DATA, Orders'!$M:$M,'MAIN DATA, Orders'!$C:$C,"Germany",'MAIN DATA, Orders'!$N:$N,"Einzelplan 14",'MAIN DATA, Orders'!$G:$G,"Artillery",'MAIN DATA, Orders'!$Q:$Q,$A16)/1000000000)</f>
        <v>0</v>
      </c>
      <c r="D16" s="61">
        <f>(SUMIFS('MAIN DATA, Orders'!$M:$M,'MAIN DATA, Orders'!$C:$C,"Germany",'MAIN DATA, Orders'!$N:$N,"Sondervermögen",'MAIN DATA, Orders'!$G:$G,"Artillery",'MAIN DATA, Orders'!$Q:$Q,$A16)/1000000000)</f>
        <v>0</v>
      </c>
      <c r="E16" s="61">
        <f>(SUMIFS('MAIN DATA, Orders'!$M:$M,'MAIN DATA, Orders'!$C:$C,"Germany",'MAIN DATA, Orders'!$N:$N,"Einzelplan 60",'MAIN DATA, Orders'!$G:$G,"Artillery",'MAIN DATA, Orders'!$Q:$Q,$A16)/1000000000)</f>
        <v>0</v>
      </c>
    </row>
    <row r="17" spans="1:5">
      <c r="A17" s="72">
        <v>11</v>
      </c>
      <c r="B17" s="68">
        <v>44136</v>
      </c>
      <c r="C17" s="61">
        <f>(SUMIFS('MAIN DATA, Orders'!$M:$M,'MAIN DATA, Orders'!$C:$C,"Germany",'MAIN DATA, Orders'!$N:$N,"Einzelplan 14",'MAIN DATA, Orders'!$G:$G,"Artillery",'MAIN DATA, Orders'!$Q:$Q,$A17)/1000000000)</f>
        <v>0</v>
      </c>
      <c r="D17" s="61">
        <f>(SUMIFS('MAIN DATA, Orders'!$M:$M,'MAIN DATA, Orders'!$C:$C,"Germany",'MAIN DATA, Orders'!$N:$N,"Sondervermögen",'MAIN DATA, Orders'!$G:$G,"Artillery",'MAIN DATA, Orders'!$Q:$Q,$A17)/1000000000)</f>
        <v>0</v>
      </c>
      <c r="E17" s="61">
        <f>(SUMIFS('MAIN DATA, Orders'!$M:$M,'MAIN DATA, Orders'!$C:$C,"Germany",'MAIN DATA, Orders'!$N:$N,"Einzelplan 60",'MAIN DATA, Orders'!$G:$G,"Artillery",'MAIN DATA, Orders'!$Q:$Q,$A17)/1000000000)</f>
        <v>0</v>
      </c>
    </row>
    <row r="18" spans="1:5">
      <c r="A18" s="72">
        <v>12</v>
      </c>
      <c r="B18" s="68">
        <v>44166</v>
      </c>
      <c r="C18" s="61">
        <f>(SUMIFS('MAIN DATA, Orders'!$M:$M,'MAIN DATA, Orders'!$C:$C,"Germany",'MAIN DATA, Orders'!$N:$N,"Einzelplan 14",'MAIN DATA, Orders'!$G:$G,"Artillery",'MAIN DATA, Orders'!$Q:$Q,$A18)/1000000000)</f>
        <v>0</v>
      </c>
      <c r="D18" s="61">
        <f>(SUMIFS('MAIN DATA, Orders'!$M:$M,'MAIN DATA, Orders'!$C:$C,"Germany",'MAIN DATA, Orders'!$N:$N,"Sondervermögen",'MAIN DATA, Orders'!$G:$G,"Artillery",'MAIN DATA, Orders'!$Q:$Q,$A18)/1000000000)</f>
        <v>0</v>
      </c>
      <c r="E18" s="61">
        <f>(SUMIFS('MAIN DATA, Orders'!$M:$M,'MAIN DATA, Orders'!$C:$C,"Germany",'MAIN DATA, Orders'!$N:$N,"Einzelplan 60",'MAIN DATA, Orders'!$G:$G,"Artillery",'MAIN DATA, Orders'!$Q:$Q,$A18)/1000000000)</f>
        <v>0</v>
      </c>
    </row>
    <row r="19" spans="1:5">
      <c r="A19" s="72">
        <v>13</v>
      </c>
      <c r="B19" s="68">
        <v>44197</v>
      </c>
      <c r="C19" s="61">
        <f>(SUMIFS('MAIN DATA, Orders'!$M:$M,'MAIN DATA, Orders'!$C:$C,"Germany",'MAIN DATA, Orders'!$N:$N,"Einzelplan 14",'MAIN DATA, Orders'!$G:$G,"Artillery",'MAIN DATA, Orders'!$Q:$Q,$A19)/1000000000)</f>
        <v>0</v>
      </c>
      <c r="D19" s="61">
        <f>(SUMIFS('MAIN DATA, Orders'!$M:$M,'MAIN DATA, Orders'!$C:$C,"Germany",'MAIN DATA, Orders'!$N:$N,"Sondervermögen",'MAIN DATA, Orders'!$G:$G,"Artillery",'MAIN DATA, Orders'!$Q:$Q,$A19)/1000000000)</f>
        <v>0</v>
      </c>
      <c r="E19" s="61">
        <f>(SUMIFS('MAIN DATA, Orders'!$M:$M,'MAIN DATA, Orders'!$C:$C,"Germany",'MAIN DATA, Orders'!$N:$N,"Einzelplan 60",'MAIN DATA, Orders'!$G:$G,"Artillery",'MAIN DATA, Orders'!$Q:$Q,$A19)/1000000000)</f>
        <v>0</v>
      </c>
    </row>
    <row r="20" spans="1:5">
      <c r="A20" s="72">
        <v>14</v>
      </c>
      <c r="B20" s="68">
        <v>44228</v>
      </c>
      <c r="C20" s="61">
        <f>(SUMIFS('MAIN DATA, Orders'!$M:$M,'MAIN DATA, Orders'!$C:$C,"Germany",'MAIN DATA, Orders'!$N:$N,"Einzelplan 14",'MAIN DATA, Orders'!$G:$G,"Artillery",'MAIN DATA, Orders'!$Q:$Q,$A20)/1000000000)</f>
        <v>0</v>
      </c>
      <c r="D20" s="61">
        <f>(SUMIFS('MAIN DATA, Orders'!$M:$M,'MAIN DATA, Orders'!$C:$C,"Germany",'MAIN DATA, Orders'!$N:$N,"Sondervermögen",'MAIN DATA, Orders'!$G:$G,"Artillery",'MAIN DATA, Orders'!$Q:$Q,$A20)/1000000000)</f>
        <v>0</v>
      </c>
      <c r="E20" s="61">
        <f>(SUMIFS('MAIN DATA, Orders'!$M:$M,'MAIN DATA, Orders'!$C:$C,"Germany",'MAIN DATA, Orders'!$N:$N,"Einzelplan 60",'MAIN DATA, Orders'!$G:$G,"Artillery",'MAIN DATA, Orders'!$Q:$Q,$A20)/1000000000)</f>
        <v>0</v>
      </c>
    </row>
    <row r="21" spans="1:5">
      <c r="A21" s="72">
        <v>15</v>
      </c>
      <c r="B21" s="68">
        <v>44256</v>
      </c>
      <c r="C21" s="61">
        <f>(SUMIFS('MAIN DATA, Orders'!$M:$M,'MAIN DATA, Orders'!$C:$C,"Germany",'MAIN DATA, Orders'!$N:$N,"Einzelplan 14",'MAIN DATA, Orders'!$G:$G,"Artillery",'MAIN DATA, Orders'!$Q:$Q,$A21)/1000000000)</f>
        <v>0</v>
      </c>
      <c r="D21" s="61">
        <f>(SUMIFS('MAIN DATA, Orders'!$M:$M,'MAIN DATA, Orders'!$C:$C,"Germany",'MAIN DATA, Orders'!$N:$N,"Sondervermögen",'MAIN DATA, Orders'!$G:$G,"Artillery",'MAIN DATA, Orders'!$Q:$Q,$A21)/1000000000)</f>
        <v>0</v>
      </c>
      <c r="E21" s="61">
        <f>(SUMIFS('MAIN DATA, Orders'!$M:$M,'MAIN DATA, Orders'!$C:$C,"Germany",'MAIN DATA, Orders'!$N:$N,"Einzelplan 60",'MAIN DATA, Orders'!$G:$G,"Artillery",'MAIN DATA, Orders'!$Q:$Q,$A21)/1000000000)</f>
        <v>0</v>
      </c>
    </row>
    <row r="22" spans="1:5">
      <c r="A22" s="72">
        <v>16</v>
      </c>
      <c r="B22" s="68">
        <v>44287</v>
      </c>
      <c r="C22" s="61">
        <f>(SUMIFS('MAIN DATA, Orders'!$M:$M,'MAIN DATA, Orders'!$C:$C,"Germany",'MAIN DATA, Orders'!$N:$N,"Einzelplan 14",'MAIN DATA, Orders'!$G:$G,"Artillery",'MAIN DATA, Orders'!$Q:$Q,$A22)/1000000000)</f>
        <v>0</v>
      </c>
      <c r="D22" s="61">
        <f>(SUMIFS('MAIN DATA, Orders'!$M:$M,'MAIN DATA, Orders'!$C:$C,"Germany",'MAIN DATA, Orders'!$N:$N,"Sondervermögen",'MAIN DATA, Orders'!$G:$G,"Artillery",'MAIN DATA, Orders'!$Q:$Q,$A22)/1000000000)</f>
        <v>0</v>
      </c>
      <c r="E22" s="61">
        <f>(SUMIFS('MAIN DATA, Orders'!$M:$M,'MAIN DATA, Orders'!$C:$C,"Germany",'MAIN DATA, Orders'!$N:$N,"Einzelplan 60",'MAIN DATA, Orders'!$G:$G,"Artillery",'MAIN DATA, Orders'!$Q:$Q,$A22)/1000000000)</f>
        <v>0</v>
      </c>
    </row>
    <row r="23" spans="1:5">
      <c r="A23" s="72">
        <v>17</v>
      </c>
      <c r="B23" s="68">
        <v>44317</v>
      </c>
      <c r="C23" s="61">
        <f>(SUMIFS('MAIN DATA, Orders'!$M:$M,'MAIN DATA, Orders'!$C:$C,"Germany",'MAIN DATA, Orders'!$N:$N,"Einzelplan 14",'MAIN DATA, Orders'!$G:$G,"Artillery",'MAIN DATA, Orders'!$Q:$Q,$A23)/1000000000)</f>
        <v>0</v>
      </c>
      <c r="D23" s="61">
        <f>(SUMIFS('MAIN DATA, Orders'!$M:$M,'MAIN DATA, Orders'!$C:$C,"Germany",'MAIN DATA, Orders'!$N:$N,"Sondervermögen",'MAIN DATA, Orders'!$G:$G,"Artillery",'MAIN DATA, Orders'!$Q:$Q,$A23)/1000000000)</f>
        <v>0</v>
      </c>
      <c r="E23" s="61">
        <f>(SUMIFS('MAIN DATA, Orders'!$M:$M,'MAIN DATA, Orders'!$C:$C,"Germany",'MAIN DATA, Orders'!$N:$N,"Einzelplan 60",'MAIN DATA, Orders'!$G:$G,"Artillery",'MAIN DATA, Orders'!$Q:$Q,$A23)/1000000000)</f>
        <v>0</v>
      </c>
    </row>
    <row r="24" spans="1:5">
      <c r="A24" s="72">
        <v>18</v>
      </c>
      <c r="B24" s="68">
        <v>44348</v>
      </c>
      <c r="C24" s="61">
        <f>(SUMIFS('MAIN DATA, Orders'!$M:$M,'MAIN DATA, Orders'!$C:$C,"Germany",'MAIN DATA, Orders'!$N:$N,"Einzelplan 14",'MAIN DATA, Orders'!$G:$G,"Artillery",'MAIN DATA, Orders'!$Q:$Q,$A24)/1000000000)</f>
        <v>0</v>
      </c>
      <c r="D24" s="61">
        <f>(SUMIFS('MAIN DATA, Orders'!$M:$M,'MAIN DATA, Orders'!$C:$C,"Germany",'MAIN DATA, Orders'!$N:$N,"Sondervermögen",'MAIN DATA, Orders'!$G:$G,"Artillery",'MAIN DATA, Orders'!$Q:$Q,$A24)/1000000000)</f>
        <v>0</v>
      </c>
      <c r="E24" s="61">
        <f>(SUMIFS('MAIN DATA, Orders'!$M:$M,'MAIN DATA, Orders'!$C:$C,"Germany",'MAIN DATA, Orders'!$N:$N,"Einzelplan 60",'MAIN DATA, Orders'!$G:$G,"Artillery",'MAIN DATA, Orders'!$Q:$Q,$A24)/1000000000)</f>
        <v>0</v>
      </c>
    </row>
    <row r="25" spans="1:5">
      <c r="A25" s="72">
        <v>19</v>
      </c>
      <c r="B25" s="68">
        <v>44378</v>
      </c>
      <c r="C25" s="61">
        <f>(SUMIFS('MAIN DATA, Orders'!$M:$M,'MAIN DATA, Orders'!$C:$C,"Germany",'MAIN DATA, Orders'!$N:$N,"Einzelplan 14",'MAIN DATA, Orders'!$G:$G,"Artillery",'MAIN DATA, Orders'!$Q:$Q,$A25)/1000000000)</f>
        <v>0</v>
      </c>
      <c r="D25" s="61">
        <f>(SUMIFS('MAIN DATA, Orders'!$M:$M,'MAIN DATA, Orders'!$C:$C,"Germany",'MAIN DATA, Orders'!$N:$N,"Sondervermögen",'MAIN DATA, Orders'!$G:$G,"Artillery",'MAIN DATA, Orders'!$Q:$Q,$A25)/1000000000)</f>
        <v>0</v>
      </c>
      <c r="E25" s="61">
        <f>(SUMIFS('MAIN DATA, Orders'!$M:$M,'MAIN DATA, Orders'!$C:$C,"Germany",'MAIN DATA, Orders'!$N:$N,"Einzelplan 60",'MAIN DATA, Orders'!$G:$G,"Artillery",'MAIN DATA, Orders'!$Q:$Q,$A25)/1000000000)</f>
        <v>0</v>
      </c>
    </row>
    <row r="26" spans="1:5">
      <c r="A26" s="72">
        <v>20</v>
      </c>
      <c r="B26" s="68">
        <v>44409</v>
      </c>
      <c r="C26" s="61">
        <f>(SUMIFS('MAIN DATA, Orders'!$M:$M,'MAIN DATA, Orders'!$C:$C,"Germany",'MAIN DATA, Orders'!$N:$N,"Einzelplan 14",'MAIN DATA, Orders'!$G:$G,"Artillery",'MAIN DATA, Orders'!$Q:$Q,$A26)/1000000000)</f>
        <v>0</v>
      </c>
      <c r="D26" s="61">
        <f>(SUMIFS('MAIN DATA, Orders'!$M:$M,'MAIN DATA, Orders'!$C:$C,"Germany",'MAIN DATA, Orders'!$N:$N,"Sondervermögen",'MAIN DATA, Orders'!$G:$G,"Artillery",'MAIN DATA, Orders'!$Q:$Q,$A26)/1000000000)</f>
        <v>0</v>
      </c>
      <c r="E26" s="61">
        <f>(SUMIFS('MAIN DATA, Orders'!$M:$M,'MAIN DATA, Orders'!$C:$C,"Germany",'MAIN DATA, Orders'!$N:$N,"Einzelplan 60",'MAIN DATA, Orders'!$G:$G,"Artillery",'MAIN DATA, Orders'!$Q:$Q,$A26)/1000000000)</f>
        <v>0</v>
      </c>
    </row>
    <row r="27" spans="1:5">
      <c r="A27" s="72">
        <v>21</v>
      </c>
      <c r="B27" s="68">
        <v>44440</v>
      </c>
      <c r="C27" s="61">
        <f>(SUMIFS('MAIN DATA, Orders'!$M:$M,'MAIN DATA, Orders'!$C:$C,"Germany",'MAIN DATA, Orders'!$N:$N,"Einzelplan 14",'MAIN DATA, Orders'!$G:$G,"Artillery",'MAIN DATA, Orders'!$Q:$Q,$A27)/1000000000)</f>
        <v>0</v>
      </c>
      <c r="D27" s="61">
        <f>(SUMIFS('MAIN DATA, Orders'!$M:$M,'MAIN DATA, Orders'!$C:$C,"Germany",'MAIN DATA, Orders'!$N:$N,"Sondervermögen",'MAIN DATA, Orders'!$G:$G,"Artillery",'MAIN DATA, Orders'!$Q:$Q,$A27)/1000000000)</f>
        <v>0</v>
      </c>
      <c r="E27" s="61">
        <f>(SUMIFS('MAIN DATA, Orders'!$M:$M,'MAIN DATA, Orders'!$C:$C,"Germany",'MAIN DATA, Orders'!$N:$N,"Einzelplan 60",'MAIN DATA, Orders'!$G:$G,"Artillery",'MAIN DATA, Orders'!$Q:$Q,$A27)/1000000000)</f>
        <v>0</v>
      </c>
    </row>
    <row r="28" spans="1:5">
      <c r="A28" s="72">
        <v>22</v>
      </c>
      <c r="B28" s="68">
        <v>44470</v>
      </c>
      <c r="C28" s="61">
        <f>(SUMIFS('MAIN DATA, Orders'!$M:$M,'MAIN DATA, Orders'!$C:$C,"Germany",'MAIN DATA, Orders'!$N:$N,"Einzelplan 14",'MAIN DATA, Orders'!$G:$G,"Artillery",'MAIN DATA, Orders'!$Q:$Q,$A28)/1000000000)</f>
        <v>0</v>
      </c>
      <c r="D28" s="61">
        <f>(SUMIFS('MAIN DATA, Orders'!$M:$M,'MAIN DATA, Orders'!$C:$C,"Germany",'MAIN DATA, Orders'!$N:$N,"Sondervermögen",'MAIN DATA, Orders'!$G:$G,"Artillery",'MAIN DATA, Orders'!$Q:$Q,$A28)/1000000000)</f>
        <v>0</v>
      </c>
      <c r="E28" s="61">
        <f>(SUMIFS('MAIN DATA, Orders'!$M:$M,'MAIN DATA, Orders'!$C:$C,"Germany",'MAIN DATA, Orders'!$N:$N,"Einzelplan 60",'MAIN DATA, Orders'!$G:$G,"Artillery",'MAIN DATA, Orders'!$Q:$Q,$A28)/1000000000)</f>
        <v>0</v>
      </c>
    </row>
    <row r="29" spans="1:5">
      <c r="A29" s="72">
        <v>23</v>
      </c>
      <c r="B29" s="68">
        <v>44501</v>
      </c>
      <c r="C29" s="61">
        <f>(SUMIFS('MAIN DATA, Orders'!$M:$M,'MAIN DATA, Orders'!$C:$C,"Germany",'MAIN DATA, Orders'!$N:$N,"Einzelplan 14",'MAIN DATA, Orders'!$G:$G,"Artillery",'MAIN DATA, Orders'!$Q:$Q,$A29)/1000000000)</f>
        <v>0</v>
      </c>
      <c r="D29" s="61">
        <f>(SUMIFS('MAIN DATA, Orders'!$M:$M,'MAIN DATA, Orders'!$C:$C,"Germany",'MAIN DATA, Orders'!$N:$N,"Sondervermögen",'MAIN DATA, Orders'!$G:$G,"Artillery",'MAIN DATA, Orders'!$Q:$Q,$A29)/1000000000)</f>
        <v>0</v>
      </c>
      <c r="E29" s="61">
        <f>(SUMIFS('MAIN DATA, Orders'!$M:$M,'MAIN DATA, Orders'!$C:$C,"Germany",'MAIN DATA, Orders'!$N:$N,"Einzelplan 60",'MAIN DATA, Orders'!$G:$G,"Artillery",'MAIN DATA, Orders'!$Q:$Q,$A29)/1000000000)</f>
        <v>0</v>
      </c>
    </row>
    <row r="30" spans="1:5">
      <c r="A30" s="72">
        <v>24</v>
      </c>
      <c r="B30" s="68">
        <v>44531</v>
      </c>
      <c r="C30" s="61">
        <f>(SUMIFS('MAIN DATA, Orders'!$M:$M,'MAIN DATA, Orders'!$C:$C,"Germany",'MAIN DATA, Orders'!$N:$N,"Einzelplan 14",'MAIN DATA, Orders'!$G:$G,"Artillery",'MAIN DATA, Orders'!$Q:$Q,$A30)/1000000000)</f>
        <v>0</v>
      </c>
      <c r="D30" s="61">
        <f>(SUMIFS('MAIN DATA, Orders'!$M:$M,'MAIN DATA, Orders'!$C:$C,"Germany",'MAIN DATA, Orders'!$N:$N,"Sondervermögen",'MAIN DATA, Orders'!$G:$G,"Artillery",'MAIN DATA, Orders'!$Q:$Q,$A30)/1000000000)</f>
        <v>0</v>
      </c>
      <c r="E30" s="61">
        <f>(SUMIFS('MAIN DATA, Orders'!$M:$M,'MAIN DATA, Orders'!$C:$C,"Germany",'MAIN DATA, Orders'!$N:$N,"Einzelplan 60",'MAIN DATA, Orders'!$G:$G,"Artillery",'MAIN DATA, Orders'!$Q:$Q,$A30)/1000000000)</f>
        <v>0</v>
      </c>
    </row>
    <row r="31" spans="1:5">
      <c r="A31" s="72">
        <v>25</v>
      </c>
      <c r="B31" s="68">
        <v>44562</v>
      </c>
      <c r="C31" s="61">
        <f>(SUMIFS('MAIN DATA, Orders'!$M:$M,'MAIN DATA, Orders'!$C:$C,"Germany",'MAIN DATA, Orders'!$N:$N,"Einzelplan 14",'MAIN DATA, Orders'!$G:$G,"Artillery",'MAIN DATA, Orders'!$Q:$Q,$A31)/1000000000)</f>
        <v>0</v>
      </c>
      <c r="D31" s="61">
        <f>(SUMIFS('MAIN DATA, Orders'!$M:$M,'MAIN DATA, Orders'!$C:$C,"Germany",'MAIN DATA, Orders'!$N:$N,"Sondervermögen",'MAIN DATA, Orders'!$G:$G,"Artillery",'MAIN DATA, Orders'!$Q:$Q,$A31)/1000000000)</f>
        <v>0</v>
      </c>
      <c r="E31" s="61">
        <f>(SUMIFS('MAIN DATA, Orders'!$M:$M,'MAIN DATA, Orders'!$C:$C,"Germany",'MAIN DATA, Orders'!$N:$N,"Einzelplan 60",'MAIN DATA, Orders'!$G:$G,"Artillery",'MAIN DATA, Orders'!$Q:$Q,$A31)/1000000000)</f>
        <v>0</v>
      </c>
    </row>
    <row r="32" spans="1:5">
      <c r="A32" s="72">
        <v>26</v>
      </c>
      <c r="B32" s="68">
        <v>44593</v>
      </c>
      <c r="C32" s="61">
        <f>(SUMIFS('MAIN DATA, Orders'!$M:$M,'MAIN DATA, Orders'!$C:$C,"Germany",'MAIN DATA, Orders'!$N:$N,"Einzelplan 14",'MAIN DATA, Orders'!$G:$G,"Artillery",'MAIN DATA, Orders'!$Q:$Q,$A32)/1000000000)</f>
        <v>0</v>
      </c>
      <c r="D32" s="61">
        <f>(SUMIFS('MAIN DATA, Orders'!$M:$M,'MAIN DATA, Orders'!$C:$C,"Germany",'MAIN DATA, Orders'!$N:$N,"Sondervermögen",'MAIN DATA, Orders'!$G:$G,"Artillery",'MAIN DATA, Orders'!$Q:$Q,$A32)/1000000000)</f>
        <v>0</v>
      </c>
      <c r="E32" s="61">
        <f>(SUMIFS('MAIN DATA, Orders'!$M:$M,'MAIN DATA, Orders'!$C:$C,"Germany",'MAIN DATA, Orders'!$N:$N,"Einzelplan 60",'MAIN DATA, Orders'!$G:$G,"Artillery",'MAIN DATA, Orders'!$Q:$Q,$A32)/1000000000)</f>
        <v>0</v>
      </c>
    </row>
    <row r="33" spans="1:5">
      <c r="A33" s="72">
        <v>27</v>
      </c>
      <c r="B33" s="68">
        <v>44621</v>
      </c>
      <c r="C33" s="61">
        <f>(SUMIFS('MAIN DATA, Orders'!$M:$M,'MAIN DATA, Orders'!$C:$C,"Germany",'MAIN DATA, Orders'!$N:$N,"Einzelplan 14",'MAIN DATA, Orders'!$G:$G,"Artillery",'MAIN DATA, Orders'!$Q:$Q,$A33)/1000000000)</f>
        <v>0</v>
      </c>
      <c r="D33" s="61">
        <f>(SUMIFS('MAIN DATA, Orders'!$M:$M,'MAIN DATA, Orders'!$C:$C,"Germany",'MAIN DATA, Orders'!$N:$N,"Sondervermögen",'MAIN DATA, Orders'!$G:$G,"Artillery",'MAIN DATA, Orders'!$Q:$Q,$A33)/1000000000)</f>
        <v>0</v>
      </c>
      <c r="E33" s="61">
        <f>(SUMIFS('MAIN DATA, Orders'!$M:$M,'MAIN DATA, Orders'!$C:$C,"Germany",'MAIN DATA, Orders'!$N:$N,"Einzelplan 60",'MAIN DATA, Orders'!$G:$G,"Artillery",'MAIN DATA, Orders'!$Q:$Q,$A33)/1000000000)</f>
        <v>0</v>
      </c>
    </row>
    <row r="34" spans="1:5">
      <c r="A34" s="72">
        <v>28</v>
      </c>
      <c r="B34" s="68">
        <v>44652</v>
      </c>
      <c r="C34" s="61">
        <f>(SUMIFS('MAIN DATA, Orders'!$M:$M,'MAIN DATA, Orders'!$C:$C,"Germany",'MAIN DATA, Orders'!$N:$N,"Einzelplan 14",'MAIN DATA, Orders'!$G:$G,"Artillery",'MAIN DATA, Orders'!$Q:$Q,$A34)/1000000000)</f>
        <v>0</v>
      </c>
      <c r="D34" s="61">
        <f>(SUMIFS('MAIN DATA, Orders'!$M:$M,'MAIN DATA, Orders'!$C:$C,"Germany",'MAIN DATA, Orders'!$N:$N,"Sondervermögen",'MAIN DATA, Orders'!$G:$G,"Artillery",'MAIN DATA, Orders'!$Q:$Q,$A34)/1000000000)</f>
        <v>0</v>
      </c>
      <c r="E34" s="61">
        <f>(SUMIFS('MAIN DATA, Orders'!$M:$M,'MAIN DATA, Orders'!$C:$C,"Germany",'MAIN DATA, Orders'!$N:$N,"Einzelplan 60",'MAIN DATA, Orders'!$G:$G,"Artillery",'MAIN DATA, Orders'!$Q:$Q,$A34)/1000000000)</f>
        <v>0</v>
      </c>
    </row>
    <row r="35" spans="1:5">
      <c r="A35" s="72">
        <v>29</v>
      </c>
      <c r="B35" s="68">
        <v>44682</v>
      </c>
      <c r="C35" s="61">
        <f>(SUMIFS('MAIN DATA, Orders'!$M:$M,'MAIN DATA, Orders'!$C:$C,"Germany",'MAIN DATA, Orders'!$N:$N,"Einzelplan 14",'MAIN DATA, Orders'!$G:$G,"Artillery",'MAIN DATA, Orders'!$Q:$Q,$A35)/1000000000)</f>
        <v>0</v>
      </c>
      <c r="D35" s="61">
        <f>(SUMIFS('MAIN DATA, Orders'!$M:$M,'MAIN DATA, Orders'!$C:$C,"Germany",'MAIN DATA, Orders'!$N:$N,"Sondervermögen",'MAIN DATA, Orders'!$G:$G,"Artillery",'MAIN DATA, Orders'!$Q:$Q,$A35)/1000000000)</f>
        <v>0</v>
      </c>
      <c r="E35" s="61">
        <f>(SUMIFS('MAIN DATA, Orders'!$M:$M,'MAIN DATA, Orders'!$C:$C,"Germany",'MAIN DATA, Orders'!$N:$N,"Einzelplan 60",'MAIN DATA, Orders'!$G:$G,"Artillery",'MAIN DATA, Orders'!$Q:$Q,$A35)/1000000000)</f>
        <v>0</v>
      </c>
    </row>
    <row r="36" spans="1:5">
      <c r="A36" s="72">
        <v>30</v>
      </c>
      <c r="B36" s="68">
        <v>44713</v>
      </c>
      <c r="C36" s="61">
        <f>(SUMIFS('MAIN DATA, Orders'!$M:$M,'MAIN DATA, Orders'!$C:$C,"Germany",'MAIN DATA, Orders'!$N:$N,"Einzelplan 14",'MAIN DATA, Orders'!$G:$G,"Artillery",'MAIN DATA, Orders'!$Q:$Q,$A36)/1000000000)</f>
        <v>0</v>
      </c>
      <c r="D36" s="61">
        <f>(SUMIFS('MAIN DATA, Orders'!$M:$M,'MAIN DATA, Orders'!$C:$C,"Germany",'MAIN DATA, Orders'!$N:$N,"Sondervermögen",'MAIN DATA, Orders'!$G:$G,"Artillery",'MAIN DATA, Orders'!$Q:$Q,$A36)/1000000000)</f>
        <v>0</v>
      </c>
      <c r="E36" s="61">
        <f>(SUMIFS('MAIN DATA, Orders'!$M:$M,'MAIN DATA, Orders'!$C:$C,"Germany",'MAIN DATA, Orders'!$N:$N,"Einzelplan 60",'MAIN DATA, Orders'!$G:$G,"Artillery",'MAIN DATA, Orders'!$Q:$Q,$A36)/1000000000)</f>
        <v>0</v>
      </c>
    </row>
    <row r="37" spans="1:5">
      <c r="A37" s="72">
        <v>31</v>
      </c>
      <c r="B37" s="68">
        <v>44743</v>
      </c>
      <c r="C37" s="61">
        <f>(SUMIFS('MAIN DATA, Orders'!$M:$M,'MAIN DATA, Orders'!$C:$C,"Germany",'MAIN DATA, Orders'!$N:$N,"Einzelplan 14",'MAIN DATA, Orders'!$G:$G,"Artillery",'MAIN DATA, Orders'!$Q:$Q,$A37)/1000000000)</f>
        <v>0</v>
      </c>
      <c r="D37" s="61">
        <f>(SUMIFS('MAIN DATA, Orders'!$M:$M,'MAIN DATA, Orders'!$C:$C,"Germany",'MAIN DATA, Orders'!$N:$N,"Sondervermögen",'MAIN DATA, Orders'!$G:$G,"Artillery",'MAIN DATA, Orders'!$Q:$Q,$A37)/1000000000)</f>
        <v>0</v>
      </c>
      <c r="E37" s="61">
        <f>(SUMIFS('MAIN DATA, Orders'!$M:$M,'MAIN DATA, Orders'!$C:$C,"Germany",'MAIN DATA, Orders'!$N:$N,"Einzelplan 60",'MAIN DATA, Orders'!$G:$G,"Artillery",'MAIN DATA, Orders'!$Q:$Q,$A37)/1000000000)</f>
        <v>0</v>
      </c>
    </row>
    <row r="38" spans="1:5">
      <c r="A38" s="72">
        <v>32</v>
      </c>
      <c r="B38" s="68">
        <v>44774</v>
      </c>
      <c r="C38" s="61">
        <f>(SUMIFS('MAIN DATA, Orders'!$M:$M,'MAIN DATA, Orders'!$C:$C,"Germany",'MAIN DATA, Orders'!$N:$N,"Einzelplan 14",'MAIN DATA, Orders'!$G:$G,"Artillery",'MAIN DATA, Orders'!$Q:$Q,$A38)/1000000000)</f>
        <v>0</v>
      </c>
      <c r="D38" s="61">
        <f>(SUMIFS('MAIN DATA, Orders'!$M:$M,'MAIN DATA, Orders'!$C:$C,"Germany",'MAIN DATA, Orders'!$N:$N,"Sondervermögen",'MAIN DATA, Orders'!$G:$G,"Artillery",'MAIN DATA, Orders'!$Q:$Q,$A38)/1000000000)</f>
        <v>0</v>
      </c>
      <c r="E38" s="61">
        <f>(SUMIFS('MAIN DATA, Orders'!$M:$M,'MAIN DATA, Orders'!$C:$C,"Germany",'MAIN DATA, Orders'!$N:$N,"Einzelplan 60",'MAIN DATA, Orders'!$G:$G,"Artillery",'MAIN DATA, Orders'!$Q:$Q,$A38)/1000000000)</f>
        <v>0</v>
      </c>
    </row>
    <row r="39" spans="1:5">
      <c r="A39" s="72">
        <v>33</v>
      </c>
      <c r="B39" s="68">
        <v>44805</v>
      </c>
      <c r="C39" s="61">
        <f>(SUMIFS('MAIN DATA, Orders'!$M:$M,'MAIN DATA, Orders'!$C:$C,"Germany",'MAIN DATA, Orders'!$N:$N,"Einzelplan 14",'MAIN DATA, Orders'!$G:$G,"Artillery",'MAIN DATA, Orders'!$Q:$Q,$A39)/1000000000)</f>
        <v>0</v>
      </c>
      <c r="D39" s="61">
        <f>(SUMIFS('MAIN DATA, Orders'!$M:$M,'MAIN DATA, Orders'!$C:$C,"Germany",'MAIN DATA, Orders'!$N:$N,"Sondervermögen",'MAIN DATA, Orders'!$G:$G,"Artillery",'MAIN DATA, Orders'!$Q:$Q,$A39)/1000000000)</f>
        <v>0</v>
      </c>
      <c r="E39" s="61">
        <f>(SUMIFS('MAIN DATA, Orders'!$M:$M,'MAIN DATA, Orders'!$C:$C,"Germany",'MAIN DATA, Orders'!$N:$N,"Einzelplan 60",'MAIN DATA, Orders'!$G:$G,"Artillery",'MAIN DATA, Orders'!$Q:$Q,$A39)/1000000000)</f>
        <v>0</v>
      </c>
    </row>
    <row r="40" spans="1:5">
      <c r="A40" s="72">
        <v>34</v>
      </c>
      <c r="B40" s="68">
        <v>44835</v>
      </c>
      <c r="C40" s="61">
        <f>(SUMIFS('MAIN DATA, Orders'!$M:$M,'MAIN DATA, Orders'!$C:$C,"Germany",'MAIN DATA, Orders'!$N:$N,"Einzelplan 14",'MAIN DATA, Orders'!$G:$G,"Artillery",'MAIN DATA, Orders'!$Q:$Q,$A40)/1000000000)</f>
        <v>0</v>
      </c>
      <c r="D40" s="61">
        <f>(SUMIFS('MAIN DATA, Orders'!$M:$M,'MAIN DATA, Orders'!$C:$C,"Germany",'MAIN DATA, Orders'!$N:$N,"Sondervermögen",'MAIN DATA, Orders'!$G:$G,"Artillery",'MAIN DATA, Orders'!$Q:$Q,$A40)/1000000000)</f>
        <v>0</v>
      </c>
      <c r="E40" s="61">
        <f>(SUMIFS('MAIN DATA, Orders'!$M:$M,'MAIN DATA, Orders'!$C:$C,"Germany",'MAIN DATA, Orders'!$N:$N,"Einzelplan 60",'MAIN DATA, Orders'!$G:$G,"Artillery",'MAIN DATA, Orders'!$Q:$Q,$A40)/1000000000)</f>
        <v>0</v>
      </c>
    </row>
    <row r="41" spans="1:5">
      <c r="A41" s="72">
        <v>35</v>
      </c>
      <c r="B41" s="68">
        <v>44866</v>
      </c>
      <c r="C41" s="61">
        <f>(SUMIFS('MAIN DATA, Orders'!$M:$M,'MAIN DATA, Orders'!$C:$C,"Germany",'MAIN DATA, Orders'!$N:$N,"Einzelplan 14",'MAIN DATA, Orders'!$G:$G,"Artillery",'MAIN DATA, Orders'!$Q:$Q,$A41)/1000000000)</f>
        <v>0</v>
      </c>
      <c r="D41" s="61">
        <f>(SUMIFS('MAIN DATA, Orders'!$M:$M,'MAIN DATA, Orders'!$C:$C,"Germany",'MAIN DATA, Orders'!$N:$N,"Sondervermögen",'MAIN DATA, Orders'!$G:$G,"Artillery",'MAIN DATA, Orders'!$Q:$Q,$A41)/1000000000)</f>
        <v>0</v>
      </c>
      <c r="E41" s="61">
        <f>(SUMIFS('MAIN DATA, Orders'!$M:$M,'MAIN DATA, Orders'!$C:$C,"Germany",'MAIN DATA, Orders'!$N:$N,"Einzelplan 60",'MAIN DATA, Orders'!$G:$G,"Artillery",'MAIN DATA, Orders'!$Q:$Q,$A41)/1000000000)</f>
        <v>0</v>
      </c>
    </row>
    <row r="42" spans="1:5">
      <c r="A42" s="72">
        <v>36</v>
      </c>
      <c r="B42" s="68">
        <v>44896</v>
      </c>
      <c r="C42" s="61">
        <f>(SUMIFS('MAIN DATA, Orders'!$M:$M,'MAIN DATA, Orders'!$C:$C,"Germany",'MAIN DATA, Orders'!$N:$N,"Einzelplan 14",'MAIN DATA, Orders'!$G:$G,"Artillery",'MAIN DATA, Orders'!$Q:$Q,$A42)/1000000000)</f>
        <v>0</v>
      </c>
      <c r="D42" s="61">
        <f>(SUMIFS('MAIN DATA, Orders'!$M:$M,'MAIN DATA, Orders'!$C:$C,"Germany",'MAIN DATA, Orders'!$N:$N,"Sondervermögen",'MAIN DATA, Orders'!$G:$G,"Artillery",'MAIN DATA, Orders'!$Q:$Q,$A42)/1000000000)</f>
        <v>0</v>
      </c>
      <c r="E42" s="61">
        <f>(SUMIFS('MAIN DATA, Orders'!$M:$M,'MAIN DATA, Orders'!$C:$C,"Germany",'MAIN DATA, Orders'!$N:$N,"Einzelplan 60",'MAIN DATA, Orders'!$G:$G,"Artillery",'MAIN DATA, Orders'!$Q:$Q,$A42)/1000000000)</f>
        <v>0</v>
      </c>
    </row>
    <row r="43" spans="1:5">
      <c r="A43" s="72">
        <v>37</v>
      </c>
      <c r="B43" s="68">
        <v>44927</v>
      </c>
      <c r="C43" s="61">
        <f>(SUMIFS('MAIN DATA, Orders'!$M:$M,'MAIN DATA, Orders'!$C:$C,"Germany",'MAIN DATA, Orders'!$N:$N,"Einzelplan 14",'MAIN DATA, Orders'!$G:$G,"Artillery",'MAIN DATA, Orders'!$Q:$Q,$A43)/1000000000)</f>
        <v>0</v>
      </c>
      <c r="D43" s="61">
        <f>(SUMIFS('MAIN DATA, Orders'!$M:$M,'MAIN DATA, Orders'!$C:$C,"Germany",'MAIN DATA, Orders'!$N:$N,"Sondervermögen",'MAIN DATA, Orders'!$G:$G,"Artillery",'MAIN DATA, Orders'!$Q:$Q,$A43)/1000000000)</f>
        <v>0</v>
      </c>
      <c r="E43" s="61">
        <f>(SUMIFS('MAIN DATA, Orders'!$M:$M,'MAIN DATA, Orders'!$C:$C,"Germany",'MAIN DATA, Orders'!$N:$N,"Einzelplan 60",'MAIN DATA, Orders'!$G:$G,"Artillery",'MAIN DATA, Orders'!$Q:$Q,$A43)/1000000000)</f>
        <v>0</v>
      </c>
    </row>
    <row r="44" spans="1:5">
      <c r="A44" s="72">
        <v>38</v>
      </c>
      <c r="B44" s="68">
        <v>44958</v>
      </c>
      <c r="C44" s="61">
        <f>(SUMIFS('MAIN DATA, Orders'!$M:$M,'MAIN DATA, Orders'!$C:$C,"Germany",'MAIN DATA, Orders'!$N:$N,"Einzelplan 14",'MAIN DATA, Orders'!$G:$G,"Artillery",'MAIN DATA, Orders'!$Q:$Q,$A44)/1000000000)</f>
        <v>0</v>
      </c>
      <c r="D44" s="61">
        <f>(SUMIFS('MAIN DATA, Orders'!$M:$M,'MAIN DATA, Orders'!$C:$C,"Germany",'MAIN DATA, Orders'!$N:$N,"Sondervermögen",'MAIN DATA, Orders'!$G:$G,"Artillery",'MAIN DATA, Orders'!$Q:$Q,$A44)/1000000000)</f>
        <v>0</v>
      </c>
      <c r="E44" s="61">
        <f>(SUMIFS('MAIN DATA, Orders'!$M:$M,'MAIN DATA, Orders'!$C:$C,"Germany",'MAIN DATA, Orders'!$N:$N,"Einzelplan 60",'MAIN DATA, Orders'!$G:$G,"Artillery",'MAIN DATA, Orders'!$Q:$Q,$A44)/1000000000)</f>
        <v>0</v>
      </c>
    </row>
    <row r="45" spans="1:5">
      <c r="A45" s="72">
        <v>39</v>
      </c>
      <c r="B45" s="68">
        <v>44986</v>
      </c>
      <c r="C45" s="61">
        <f>(SUMIFS('MAIN DATA, Orders'!$M:$M,'MAIN DATA, Orders'!$C:$C,"Germany",'MAIN DATA, Orders'!$N:$N,"Einzelplan 14",'MAIN DATA, Orders'!$G:$G,"Artillery",'MAIN DATA, Orders'!$Q:$Q,$A45)/1000000000)</f>
        <v>0</v>
      </c>
      <c r="D45" s="61">
        <f>(SUMIFS('MAIN DATA, Orders'!$M:$M,'MAIN DATA, Orders'!$C:$C,"Germany",'MAIN DATA, Orders'!$N:$N,"Sondervermögen",'MAIN DATA, Orders'!$G:$G,"Artillery",'MAIN DATA, Orders'!$Q:$Q,$A45)/1000000000)</f>
        <v>0</v>
      </c>
      <c r="E45" s="61">
        <f>(SUMIFS('MAIN DATA, Orders'!$M:$M,'MAIN DATA, Orders'!$C:$C,"Germany",'MAIN DATA, Orders'!$N:$N,"Einzelplan 60",'MAIN DATA, Orders'!$G:$G,"Artillery",'MAIN DATA, Orders'!$Q:$Q,$A45)/1000000000)</f>
        <v>0.184</v>
      </c>
    </row>
    <row r="46" spans="1:5">
      <c r="A46" s="72">
        <v>40</v>
      </c>
      <c r="B46" s="68">
        <v>45017</v>
      </c>
      <c r="C46" s="61">
        <f>(SUMIFS('MAIN DATA, Orders'!$M:$M,'MAIN DATA, Orders'!$C:$C,"Germany",'MAIN DATA, Orders'!$N:$N,"Einzelplan 14",'MAIN DATA, Orders'!$G:$G,"Artillery",'MAIN DATA, Orders'!$Q:$Q,$A46)/1000000000)</f>
        <v>0</v>
      </c>
      <c r="D46" s="61">
        <f>(SUMIFS('MAIN DATA, Orders'!$M:$M,'MAIN DATA, Orders'!$C:$C,"Germany",'MAIN DATA, Orders'!$N:$N,"Sondervermögen",'MAIN DATA, Orders'!$G:$G,"Artillery",'MAIN DATA, Orders'!$Q:$Q,$A46)/1000000000)</f>
        <v>0</v>
      </c>
      <c r="E46" s="61">
        <f>(SUMIFS('MAIN DATA, Orders'!$M:$M,'MAIN DATA, Orders'!$C:$C,"Germany",'MAIN DATA, Orders'!$N:$N,"Einzelplan 60",'MAIN DATA, Orders'!$G:$G,"Artillery",'MAIN DATA, Orders'!$Q:$Q,$A46)/1000000000)</f>
        <v>0</v>
      </c>
    </row>
    <row r="47" spans="1:5">
      <c r="A47" s="72">
        <v>41</v>
      </c>
      <c r="B47" s="68">
        <v>45047</v>
      </c>
      <c r="C47" s="61">
        <f>(SUMIFS('MAIN DATA, Orders'!$M:$M,'MAIN DATA, Orders'!$C:$C,"Germany",'MAIN DATA, Orders'!$N:$N,"Einzelplan 14",'MAIN DATA, Orders'!$G:$G,"Artillery",'MAIN DATA, Orders'!$Q:$Q,$A47)/1000000000)</f>
        <v>0</v>
      </c>
      <c r="D47" s="61">
        <f>(SUMIFS('MAIN DATA, Orders'!$M:$M,'MAIN DATA, Orders'!$C:$C,"Germany",'MAIN DATA, Orders'!$N:$N,"Sondervermögen",'MAIN DATA, Orders'!$G:$G,"Artillery",'MAIN DATA, Orders'!$Q:$Q,$A47)/1000000000)</f>
        <v>0</v>
      </c>
      <c r="E47" s="61">
        <f>(SUMIFS('MAIN DATA, Orders'!$M:$M,'MAIN DATA, Orders'!$C:$C,"Germany",'MAIN DATA, Orders'!$N:$N,"Einzelplan 60",'MAIN DATA, Orders'!$G:$G,"Artillery",'MAIN DATA, Orders'!$Q:$Q,$A47)/1000000000)</f>
        <v>0.19070000000000001</v>
      </c>
    </row>
    <row r="48" spans="1:5">
      <c r="A48" s="72">
        <v>42</v>
      </c>
      <c r="B48" s="68">
        <v>45078</v>
      </c>
      <c r="C48" s="61">
        <f>(SUMIFS('MAIN DATA, Orders'!$M:$M,'MAIN DATA, Orders'!$C:$C,"Germany",'MAIN DATA, Orders'!$N:$N,"Einzelplan 14",'MAIN DATA, Orders'!$G:$G,"Artillery",'MAIN DATA, Orders'!$Q:$Q,$A48)/1000000000)</f>
        <v>0</v>
      </c>
      <c r="D48" s="61">
        <f>(SUMIFS('MAIN DATA, Orders'!$M:$M,'MAIN DATA, Orders'!$C:$C,"Germany",'MAIN DATA, Orders'!$N:$N,"Sondervermögen",'MAIN DATA, Orders'!$G:$G,"Artillery",'MAIN DATA, Orders'!$Q:$Q,$A48)/1000000000)</f>
        <v>0</v>
      </c>
      <c r="E48" s="61">
        <f>(SUMIFS('MAIN DATA, Orders'!$M:$M,'MAIN DATA, Orders'!$C:$C,"Germany",'MAIN DATA, Orders'!$N:$N,"Einzelplan 60",'MAIN DATA, Orders'!$G:$G,"Artillery",'MAIN DATA, Orders'!$Q:$Q,$A48)/1000000000)</f>
        <v>0</v>
      </c>
    </row>
    <row r="49" spans="1:5">
      <c r="A49" s="72">
        <v>43</v>
      </c>
      <c r="B49" s="68">
        <v>45108</v>
      </c>
      <c r="C49" s="61">
        <f>(SUMIFS('MAIN DATA, Orders'!$M:$M,'MAIN DATA, Orders'!$C:$C,"Germany",'MAIN DATA, Orders'!$N:$N,"Einzelplan 14",'MAIN DATA, Orders'!$G:$G,"Artillery",'MAIN DATA, Orders'!$Q:$Q,$A49)/1000000000)</f>
        <v>0</v>
      </c>
      <c r="D49" s="61">
        <f>(SUMIFS('MAIN DATA, Orders'!$M:$M,'MAIN DATA, Orders'!$C:$C,"Germany",'MAIN DATA, Orders'!$N:$N,"Sondervermögen",'MAIN DATA, Orders'!$G:$G,"Artillery",'MAIN DATA, Orders'!$Q:$Q,$A49)/1000000000)</f>
        <v>0</v>
      </c>
      <c r="E49" s="61">
        <f>(SUMIFS('MAIN DATA, Orders'!$M:$M,'MAIN DATA, Orders'!$C:$C,"Germany",'MAIN DATA, Orders'!$N:$N,"Einzelplan 60",'MAIN DATA, Orders'!$G:$G,"Artillery",'MAIN DATA, Orders'!$Q:$Q,$A49)/1000000000)</f>
        <v>0</v>
      </c>
    </row>
    <row r="50" spans="1:5">
      <c r="A50" s="72">
        <v>44</v>
      </c>
      <c r="B50" s="68">
        <v>45139</v>
      </c>
      <c r="C50" s="61">
        <f>(SUMIFS('MAIN DATA, Orders'!$M:$M,'MAIN DATA, Orders'!$C:$C,"Germany",'MAIN DATA, Orders'!$N:$N,"Einzelplan 14",'MAIN DATA, Orders'!$G:$G,"Artillery",'MAIN DATA, Orders'!$Q:$Q,$A50)/1000000000)</f>
        <v>0</v>
      </c>
      <c r="D50" s="61">
        <f>(SUMIFS('MAIN DATA, Orders'!$M:$M,'MAIN DATA, Orders'!$C:$C,"Germany",'MAIN DATA, Orders'!$N:$N,"Sondervermögen",'MAIN DATA, Orders'!$G:$G,"Artillery",'MAIN DATA, Orders'!$Q:$Q,$A50)/1000000000)</f>
        <v>0</v>
      </c>
      <c r="E50" s="61">
        <f>(SUMIFS('MAIN DATA, Orders'!$M:$M,'MAIN DATA, Orders'!$C:$C,"Germany",'MAIN DATA, Orders'!$N:$N,"Einzelplan 60",'MAIN DATA, Orders'!$G:$G,"Artillery",'MAIN DATA, Orders'!$Q:$Q,$A50)/1000000000)</f>
        <v>0</v>
      </c>
    </row>
    <row r="51" spans="1:5">
      <c r="A51" s="72">
        <v>45</v>
      </c>
      <c r="B51" s="68">
        <v>45170</v>
      </c>
      <c r="C51" s="61">
        <f>(SUMIFS('MAIN DATA, Orders'!$M:$M,'MAIN DATA, Orders'!$C:$C,"Germany",'MAIN DATA, Orders'!$N:$N,"Einzelplan 14",'MAIN DATA, Orders'!$G:$G,"Artillery",'MAIN DATA, Orders'!$Q:$Q,$A51)/1000000000)</f>
        <v>0</v>
      </c>
      <c r="D51" s="61">
        <f>(SUMIFS('MAIN DATA, Orders'!$M:$M,'MAIN DATA, Orders'!$C:$C,"Germany",'MAIN DATA, Orders'!$N:$N,"Sondervermögen",'MAIN DATA, Orders'!$G:$G,"Artillery",'MAIN DATA, Orders'!$Q:$Q,$A51)/1000000000)</f>
        <v>0</v>
      </c>
      <c r="E51" s="61">
        <f>(SUMIFS('MAIN DATA, Orders'!$M:$M,'MAIN DATA, Orders'!$C:$C,"Germany",'MAIN DATA, Orders'!$N:$N,"Einzelplan 60",'MAIN DATA, Orders'!$G:$G,"Artillery",'MAIN DATA, Orders'!$Q:$Q,$A51)/1000000000)</f>
        <v>0</v>
      </c>
    </row>
    <row r="52" spans="1:5">
      <c r="A52" s="72">
        <v>46</v>
      </c>
      <c r="B52" s="68">
        <v>45200</v>
      </c>
      <c r="C52" s="61">
        <f>(SUMIFS('MAIN DATA, Orders'!$M:$M,'MAIN DATA, Orders'!$C:$C,"Germany",'MAIN DATA, Orders'!$N:$N,"Einzelplan 14",'MAIN DATA, Orders'!$G:$G,"Artillery",'MAIN DATA, Orders'!$Q:$Q,$A52)/1000000000)</f>
        <v>0</v>
      </c>
      <c r="D52" s="61">
        <f>(SUMIFS('MAIN DATA, Orders'!$M:$M,'MAIN DATA, Orders'!$C:$C,"Germany",'MAIN DATA, Orders'!$N:$N,"Sondervermögen",'MAIN DATA, Orders'!$G:$G,"Artillery",'MAIN DATA, Orders'!$Q:$Q,$A52)/1000000000)</f>
        <v>0</v>
      </c>
      <c r="E52" s="61">
        <f>(SUMIFS('MAIN DATA, Orders'!$M:$M,'MAIN DATA, Orders'!$C:$C,"Germany",'MAIN DATA, Orders'!$N:$N,"Einzelplan 60",'MAIN DATA, Orders'!$G:$G,"Artillery",'MAIN DATA, Orders'!$Q:$Q,$A52)/1000000000)</f>
        <v>0</v>
      </c>
    </row>
    <row r="53" spans="1:5">
      <c r="A53" s="72">
        <v>47</v>
      </c>
      <c r="B53" s="68">
        <v>45231</v>
      </c>
      <c r="C53" s="61">
        <f>(SUMIFS('MAIN DATA, Orders'!$M:$M,'MAIN DATA, Orders'!$C:$C,"Germany",'MAIN DATA, Orders'!$N:$N,"Einzelplan 14",'MAIN DATA, Orders'!$G:$G,"Artillery",'MAIN DATA, Orders'!$Q:$Q,$A53)/1000000000)</f>
        <v>0</v>
      </c>
      <c r="D53" s="61">
        <f>(SUMIFS('MAIN DATA, Orders'!$M:$M,'MAIN DATA, Orders'!$C:$C,"Germany",'MAIN DATA, Orders'!$N:$N,"Sondervermögen",'MAIN DATA, Orders'!$G:$G,"Artillery",'MAIN DATA, Orders'!$Q:$Q,$A53)/1000000000)</f>
        <v>0</v>
      </c>
      <c r="E53" s="61">
        <f>(SUMIFS('MAIN DATA, Orders'!$M:$M,'MAIN DATA, Orders'!$C:$C,"Germany",'MAIN DATA, Orders'!$N:$N,"Einzelplan 60",'MAIN DATA, Orders'!$G:$G,"Artillery",'MAIN DATA, Orders'!$Q:$Q,$A53)/1000000000)</f>
        <v>0</v>
      </c>
    </row>
    <row r="54" spans="1:5">
      <c r="A54" s="72">
        <v>48</v>
      </c>
      <c r="B54" s="68">
        <v>45261</v>
      </c>
      <c r="C54" s="61">
        <f>(SUMIFS('MAIN DATA, Orders'!$M:$M,'MAIN DATA, Orders'!$C:$C,"Germany",'MAIN DATA, Orders'!$N:$N,"Einzelplan 14",'MAIN DATA, Orders'!$G:$G,"Artillery",'MAIN DATA, Orders'!$Q:$Q,$A54)/1000000000)</f>
        <v>0</v>
      </c>
      <c r="D54" s="61">
        <f>(SUMIFS('MAIN DATA, Orders'!$M:$M,'MAIN DATA, Orders'!$C:$C,"Germany",'MAIN DATA, Orders'!$N:$N,"Sondervermögen",'MAIN DATA, Orders'!$G:$G,"Artillery",'MAIN DATA, Orders'!$Q:$Q,$A54)/1000000000)</f>
        <v>0</v>
      </c>
      <c r="E54" s="61">
        <f>(SUMIFS('MAIN DATA, Orders'!$M:$M,'MAIN DATA, Orders'!$C:$C,"Germany",'MAIN DATA, Orders'!$N:$N,"Einzelplan 60",'MAIN DATA, Orders'!$G:$G,"Artillery",'MAIN DATA, Orders'!$Q:$Q,$A54)/1000000000)</f>
        <v>0</v>
      </c>
    </row>
    <row r="55" spans="1:5">
      <c r="A55" s="72">
        <v>49</v>
      </c>
      <c r="B55" s="68">
        <v>45292</v>
      </c>
      <c r="C55" s="61">
        <f>(SUMIFS('MAIN DATA, Orders'!$M:$M,'MAIN DATA, Orders'!$C:$C,"Germany",'MAIN DATA, Orders'!$N:$N,"Einzelplan 14",'MAIN DATA, Orders'!$G:$G,"Artillery",'MAIN DATA, Orders'!$Q:$Q,$A55)/1000000000)</f>
        <v>0</v>
      </c>
      <c r="D55" s="61">
        <f>(SUMIFS('MAIN DATA, Orders'!$M:$M,'MAIN DATA, Orders'!$C:$C,"Germany",'MAIN DATA, Orders'!$N:$N,"Sondervermögen",'MAIN DATA, Orders'!$G:$G,"Artillery",'MAIN DATA, Orders'!$Q:$Q,$A55)/1000000000)</f>
        <v>0</v>
      </c>
      <c r="E55" s="61">
        <f>(SUMIFS('MAIN DATA, Orders'!$M:$M,'MAIN DATA, Orders'!$C:$C,"Germany",'MAIN DATA, Orders'!$N:$N,"Einzelplan 60",'MAIN DATA, Orders'!$G:$G,"Artillery",'MAIN DATA, Orders'!$Q:$Q,$A55)/1000000000)</f>
        <v>0</v>
      </c>
    </row>
    <row r="56" spans="1:5">
      <c r="A56" s="72">
        <v>50</v>
      </c>
      <c r="B56" s="68">
        <v>45323</v>
      </c>
      <c r="C56" s="61">
        <f>(SUMIFS('MAIN DATA, Orders'!$M:$M,'MAIN DATA, Orders'!$C:$C,"Germany",'MAIN DATA, Orders'!$N:$N,"Einzelplan 14",'MAIN DATA, Orders'!$G:$G,"Artillery",'MAIN DATA, Orders'!$Q:$Q,$A56)/1000000000)</f>
        <v>0</v>
      </c>
      <c r="D56" s="61">
        <f>(SUMIFS('MAIN DATA, Orders'!$M:$M,'MAIN DATA, Orders'!$C:$C,"Germany",'MAIN DATA, Orders'!$N:$N,"Sondervermögen",'MAIN DATA, Orders'!$G:$G,"Artillery",'MAIN DATA, Orders'!$Q:$Q,$A56)/1000000000)</f>
        <v>0</v>
      </c>
      <c r="E56" s="61">
        <f>(SUMIFS('MAIN DATA, Orders'!$M:$M,'MAIN DATA, Orders'!$C:$C,"Germany",'MAIN DATA, Orders'!$N:$N,"Einzelplan 60",'MAIN DATA, Orders'!$G:$G,"Artillery",'MAIN DATA, Orders'!$Q:$Q,$A56)/1000000000)</f>
        <v>0</v>
      </c>
    </row>
    <row r="57" spans="1:5">
      <c r="A57" s="72">
        <v>51</v>
      </c>
      <c r="B57" s="68">
        <v>45352</v>
      </c>
      <c r="C57" s="61">
        <f>(SUMIFS('MAIN DATA, Orders'!$M:$M,'MAIN DATA, Orders'!$C:$C,"Germany",'MAIN DATA, Orders'!$N:$N,"Einzelplan 14",'MAIN DATA, Orders'!$G:$G,"Artillery",'MAIN DATA, Orders'!$Q:$Q,$A57)/1000000000)</f>
        <v>0</v>
      </c>
      <c r="D57" s="61">
        <f>(SUMIFS('MAIN DATA, Orders'!$M:$M,'MAIN DATA, Orders'!$C:$C,"Germany",'MAIN DATA, Orders'!$N:$N,"Sondervermögen",'MAIN DATA, Orders'!$G:$G,"Artillery",'MAIN DATA, Orders'!$Q:$Q,$A57)/1000000000)</f>
        <v>0</v>
      </c>
      <c r="E57" s="61">
        <f>(SUMIFS('MAIN DATA, Orders'!$M:$M,'MAIN DATA, Orders'!$C:$C,"Germany",'MAIN DATA, Orders'!$N:$N,"Einzelplan 60",'MAIN DATA, Orders'!$G:$G,"Artillery",'MAIN DATA, Orders'!$Q:$Q,$A57)/1000000000)</f>
        <v>0</v>
      </c>
    </row>
    <row r="58" spans="1:5">
      <c r="A58" s="72">
        <v>52</v>
      </c>
      <c r="B58" s="68">
        <v>45383</v>
      </c>
      <c r="C58" s="61">
        <f>(SUMIFS('MAIN DATA, Orders'!$M:$M,'MAIN DATA, Orders'!$C:$C,"Germany",'MAIN DATA, Orders'!$N:$N,"Einzelplan 14",'MAIN DATA, Orders'!$G:$G,"Artillery",'MAIN DATA, Orders'!$Q:$Q,$A58)/1000000000)</f>
        <v>0</v>
      </c>
      <c r="D58" s="61">
        <f>(SUMIFS('MAIN DATA, Orders'!$M:$M,'MAIN DATA, Orders'!$C:$C,"Germany",'MAIN DATA, Orders'!$N:$N,"Sondervermögen",'MAIN DATA, Orders'!$G:$G,"Artillery",'MAIN DATA, Orders'!$Q:$Q,$A58)/1000000000)</f>
        <v>0</v>
      </c>
      <c r="E58" s="61">
        <f>(SUMIFS('MAIN DATA, Orders'!$M:$M,'MAIN DATA, Orders'!$C:$C,"Germany",'MAIN DATA, Orders'!$N:$N,"Einzelplan 60",'MAIN DATA, Orders'!$G:$G,"Artillery",'MAIN DATA, Orders'!$Q:$Q,$A58)/1000000000)</f>
        <v>0</v>
      </c>
    </row>
    <row r="59" spans="1:5">
      <c r="A59" s="72">
        <v>53</v>
      </c>
      <c r="B59" s="68">
        <v>45413</v>
      </c>
      <c r="C59" s="61">
        <f>(SUMIFS('MAIN DATA, Orders'!$M:$M,'MAIN DATA, Orders'!$C:$C,"Germany",'MAIN DATA, Orders'!$N:$N,"Einzelplan 14",'MAIN DATA, Orders'!$G:$G,"Artillery",'MAIN DATA, Orders'!$Q:$Q,$A59)/1000000000)</f>
        <v>0</v>
      </c>
      <c r="D59" s="61">
        <f>(SUMIFS('MAIN DATA, Orders'!$M:$M,'MAIN DATA, Orders'!$C:$C,"Germany",'MAIN DATA, Orders'!$N:$N,"Sondervermögen",'MAIN DATA, Orders'!$G:$G,"Artillery",'MAIN DATA, Orders'!$Q:$Q,$A59)/1000000000)</f>
        <v>0</v>
      </c>
      <c r="E59" s="61">
        <f>(SUMIFS('MAIN DATA, Orders'!$M:$M,'MAIN DATA, Orders'!$C:$C,"Germany",'MAIN DATA, Orders'!$N:$N,"Einzelplan 60",'MAIN DATA, Orders'!$G:$G,"Artillery",'MAIN DATA, Orders'!$Q:$Q,$A59)/1000000000)</f>
        <v>0</v>
      </c>
    </row>
    <row r="60" spans="1:5">
      <c r="A60" s="72">
        <v>54</v>
      </c>
      <c r="B60" s="68">
        <v>45444</v>
      </c>
      <c r="C60" s="61">
        <f>(SUMIFS('MAIN DATA, Orders'!$M:$M,'MAIN DATA, Orders'!$C:$C,"Germany",'MAIN DATA, Orders'!$N:$N,"Einzelplan 14",'MAIN DATA, Orders'!$G:$G,"Artillery",'MAIN DATA, Orders'!$Q:$Q,$A60)/1000000000)</f>
        <v>0</v>
      </c>
      <c r="D60" s="61">
        <f>(SUMIFS('MAIN DATA, Orders'!$M:$M,'MAIN DATA, Orders'!$C:$C,"Germany",'MAIN DATA, Orders'!$N:$N,"Sondervermögen",'MAIN DATA, Orders'!$G:$G,"Artillery",'MAIN DATA, Orders'!$Q:$Q,$A60)/1000000000)</f>
        <v>0</v>
      </c>
      <c r="E60" s="61">
        <f>(SUMIFS('MAIN DATA, Orders'!$M:$M,'MAIN DATA, Orders'!$C:$C,"Germany",'MAIN DATA, Orders'!$N:$N,"Einzelplan 60",'MAIN DATA, Orders'!$G:$G,"Artillery",'MAIN DATA, Orders'!$Q:$Q,$A60)/1000000000)</f>
        <v>0</v>
      </c>
    </row>
    <row r="61" spans="1:5">
      <c r="A61" s="72">
        <v>55</v>
      </c>
      <c r="B61" s="155">
        <v>45474</v>
      </c>
      <c r="C61" s="159">
        <f>(SUMIFS('MAIN DATA, Orders'!$M:$M,'MAIN DATA, Orders'!$C:$C,"Germany",'MAIN DATA, Orders'!$N:$N,"Einzelplan 14",'MAIN DATA, Orders'!$G:$G,"Artillery",'MAIN DATA, Orders'!$Q:$Q,$A61)/1000000000)</f>
        <v>0</v>
      </c>
      <c r="D61" s="159">
        <f>(SUMIFS('MAIN DATA, Orders'!$M:$M,'MAIN DATA, Orders'!$C:$C,"Germany",'MAIN DATA, Orders'!$N:$N,"Sondervermögen",'MAIN DATA, Orders'!$G:$G,"Artillery",'MAIN DATA, Orders'!$Q:$Q,$A61)/1000000000)</f>
        <v>0</v>
      </c>
      <c r="E61" s="159">
        <f>(SUMIFS('MAIN DATA, Orders'!$M:$M,'MAIN DATA, Orders'!$C:$C,"Germany",'MAIN DATA, Orders'!$N:$N,"Einzelplan 60",'MAIN DATA, Orders'!$G:$G,"Artillery",'MAIN DATA, Orders'!$Q:$Q,$A61)/1000000000)</f>
        <v>0</v>
      </c>
    </row>
    <row r="62" spans="1:5">
      <c r="B62" s="199"/>
      <c r="C62" s="199"/>
      <c r="D62" s="199"/>
      <c r="E62" s="199"/>
    </row>
    <row r="63" spans="1:5">
      <c r="B63" s="69" t="s">
        <v>1431</v>
      </c>
      <c r="C63" s="69">
        <f>SUM(C7:C61)</f>
        <v>0</v>
      </c>
      <c r="D63" s="69">
        <f>SUM(D7:D61)</f>
        <v>0</v>
      </c>
      <c r="E63" s="69">
        <f>SUM(E7:E61)</f>
        <v>0.37470000000000003</v>
      </c>
    </row>
  </sheetData>
  <mergeCells count="1">
    <mergeCell ref="B4:F4"/>
  </mergeCell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B67A0-AA84-4E2C-88D3-E123E068F27F}">
  <sheetPr>
    <tabColor theme="9" tint="0.59999389629810485"/>
  </sheetPr>
  <dimension ref="A2:F63"/>
  <sheetViews>
    <sheetView workbookViewId="0"/>
  </sheetViews>
  <sheetFormatPr defaultColWidth="8.69921875" defaultRowHeight="15.6"/>
  <cols>
    <col min="1" max="1" width="8.69921875" style="1"/>
    <col min="2" max="2" width="13.5" style="1" customWidth="1"/>
    <col min="3" max="3" width="20.69921875" style="1" bestFit="1" customWidth="1"/>
    <col min="4" max="4" width="23.69921875" style="1" bestFit="1" customWidth="1"/>
    <col min="5" max="5" width="20.69921875" style="1" bestFit="1" customWidth="1"/>
    <col min="6" max="16384" width="8.69921875" style="1"/>
  </cols>
  <sheetData>
    <row r="2" spans="1:6" ht="25.2">
      <c r="B2" s="67" t="s">
        <v>1662</v>
      </c>
    </row>
    <row r="4" spans="1:6" ht="130.19999999999999" customHeight="1">
      <c r="B4" s="207" t="s">
        <v>1663</v>
      </c>
      <c r="C4" s="207"/>
      <c r="D4" s="207"/>
      <c r="E4" s="207"/>
      <c r="F4" s="207"/>
    </row>
    <row r="6" spans="1:6" ht="21" customHeight="1">
      <c r="B6" s="161" t="s">
        <v>1404</v>
      </c>
      <c r="C6" s="162" t="s">
        <v>165</v>
      </c>
      <c r="D6" s="162" t="s">
        <v>665</v>
      </c>
      <c r="E6" s="162" t="s">
        <v>784</v>
      </c>
    </row>
    <row r="7" spans="1:6">
      <c r="A7" s="72">
        <v>1</v>
      </c>
      <c r="B7" s="68">
        <v>43831</v>
      </c>
      <c r="C7" s="17">
        <f>(SUMIFS('MAIN DATA, Orders'!$I:$I,'MAIN DATA, Orders'!$C:$C,"Germany",'MAIN DATA, Orders'!$N:$N,"Einzelplan 14",'MAIN DATA, Orders'!$G:$G,"Artillery",'MAIN DATA, Orders'!$Q:$Q,$A7))</f>
        <v>0</v>
      </c>
      <c r="D7" s="17">
        <f>(SUMIFS('MAIN DATA, Orders'!$I:$I,'MAIN DATA, Orders'!$C:$C,"Germany",'MAIN DATA, Orders'!$N:$N,"Sondervermögen",'MAIN DATA, Orders'!$G:$G,"Artillery",'MAIN DATA, Orders'!$Q:$Q,$A7))</f>
        <v>0</v>
      </c>
      <c r="E7" s="17">
        <f>(SUMIFS('MAIN DATA, Orders'!$I:$I,'MAIN DATA, Orders'!$C:$C,"Germany",'MAIN DATA, Orders'!$N:$N,"Einzelplan 60",'MAIN DATA, Orders'!$G:$G,"Artillery",'MAIN DATA, Orders'!$Q:$Q,$A7))</f>
        <v>0</v>
      </c>
    </row>
    <row r="8" spans="1:6">
      <c r="A8" s="72">
        <v>2</v>
      </c>
      <c r="B8" s="68">
        <v>43862</v>
      </c>
      <c r="C8" s="17">
        <f>(SUMIFS('MAIN DATA, Orders'!$I:$I,'MAIN DATA, Orders'!$C:$C,"Germany",'MAIN DATA, Orders'!$N:$N,"Einzelplan 14",'MAIN DATA, Orders'!$G:$G,"Artillery",'MAIN DATA, Orders'!$Q:$Q,$A8))</f>
        <v>0</v>
      </c>
      <c r="D8" s="17">
        <f>(SUMIFS('MAIN DATA, Orders'!$I:$I,'MAIN DATA, Orders'!$C:$C,"Germany",'MAIN DATA, Orders'!$N:$N,"Sondervermögen",'MAIN DATA, Orders'!$G:$G,"Artillery",'MAIN DATA, Orders'!$Q:$Q,$A8))</f>
        <v>0</v>
      </c>
      <c r="E8" s="17">
        <f>(SUMIFS('MAIN DATA, Orders'!$I:$I,'MAIN DATA, Orders'!$C:$C,"Germany",'MAIN DATA, Orders'!$N:$N,"Einzelplan 60",'MAIN DATA, Orders'!$G:$G,"Artillery",'MAIN DATA, Orders'!$Q:$Q,$A8))</f>
        <v>0</v>
      </c>
    </row>
    <row r="9" spans="1:6">
      <c r="A9" s="72">
        <v>3</v>
      </c>
      <c r="B9" s="68">
        <v>43891</v>
      </c>
      <c r="C9" s="17">
        <f>(SUMIFS('MAIN DATA, Orders'!$I:$I,'MAIN DATA, Orders'!$C:$C,"Germany",'MAIN DATA, Orders'!$N:$N,"Einzelplan 14",'MAIN DATA, Orders'!$G:$G,"Artillery",'MAIN DATA, Orders'!$Q:$Q,$A9))</f>
        <v>0</v>
      </c>
      <c r="D9" s="17">
        <f>(SUMIFS('MAIN DATA, Orders'!$I:$I,'MAIN DATA, Orders'!$C:$C,"Germany",'MAIN DATA, Orders'!$N:$N,"Sondervermögen",'MAIN DATA, Orders'!$G:$G,"Artillery",'MAIN DATA, Orders'!$Q:$Q,$A9))</f>
        <v>0</v>
      </c>
      <c r="E9" s="17">
        <f>(SUMIFS('MAIN DATA, Orders'!$I:$I,'MAIN DATA, Orders'!$C:$C,"Germany",'MAIN DATA, Orders'!$N:$N,"Einzelplan 60",'MAIN DATA, Orders'!$G:$G,"Artillery",'MAIN DATA, Orders'!$Q:$Q,$A9))</f>
        <v>0</v>
      </c>
    </row>
    <row r="10" spans="1:6">
      <c r="A10" s="72">
        <v>4</v>
      </c>
      <c r="B10" s="68">
        <v>43922</v>
      </c>
      <c r="C10" s="17">
        <f>(SUMIFS('MAIN DATA, Orders'!$I:$I,'MAIN DATA, Orders'!$C:$C,"Germany",'MAIN DATA, Orders'!$N:$N,"Einzelplan 14",'MAIN DATA, Orders'!$G:$G,"Artillery",'MAIN DATA, Orders'!$Q:$Q,$A10))</f>
        <v>0</v>
      </c>
      <c r="D10" s="17">
        <f>(SUMIFS('MAIN DATA, Orders'!$I:$I,'MAIN DATA, Orders'!$C:$C,"Germany",'MAIN DATA, Orders'!$N:$N,"Sondervermögen",'MAIN DATA, Orders'!$G:$G,"Artillery",'MAIN DATA, Orders'!$Q:$Q,$A10))</f>
        <v>0</v>
      </c>
      <c r="E10" s="17">
        <f>(SUMIFS('MAIN DATA, Orders'!$I:$I,'MAIN DATA, Orders'!$C:$C,"Germany",'MAIN DATA, Orders'!$N:$N,"Einzelplan 60",'MAIN DATA, Orders'!$G:$G,"Artillery",'MAIN DATA, Orders'!$Q:$Q,$A10))</f>
        <v>0</v>
      </c>
    </row>
    <row r="11" spans="1:6">
      <c r="A11" s="72">
        <v>5</v>
      </c>
      <c r="B11" s="68">
        <v>43952</v>
      </c>
      <c r="C11" s="17">
        <f>(SUMIFS('MAIN DATA, Orders'!$I:$I,'MAIN DATA, Orders'!$C:$C,"Germany",'MAIN DATA, Orders'!$N:$N,"Einzelplan 14",'MAIN DATA, Orders'!$G:$G,"Artillery",'MAIN DATA, Orders'!$Q:$Q,$A11))</f>
        <v>0</v>
      </c>
      <c r="D11" s="17">
        <f>(SUMIFS('MAIN DATA, Orders'!$I:$I,'MAIN DATA, Orders'!$C:$C,"Germany",'MAIN DATA, Orders'!$N:$N,"Sondervermögen",'MAIN DATA, Orders'!$G:$G,"Artillery",'MAIN DATA, Orders'!$Q:$Q,$A11))</f>
        <v>0</v>
      </c>
      <c r="E11" s="17">
        <f>(SUMIFS('MAIN DATA, Orders'!$I:$I,'MAIN DATA, Orders'!$C:$C,"Germany",'MAIN DATA, Orders'!$N:$N,"Einzelplan 60",'MAIN DATA, Orders'!$G:$G,"Artillery",'MAIN DATA, Orders'!$Q:$Q,$A11))</f>
        <v>0</v>
      </c>
    </row>
    <row r="12" spans="1:6">
      <c r="A12" s="72">
        <v>6</v>
      </c>
      <c r="B12" s="68">
        <v>43983</v>
      </c>
      <c r="C12" s="17">
        <f>(SUMIFS('MAIN DATA, Orders'!$I:$I,'MAIN DATA, Orders'!$C:$C,"Germany",'MAIN DATA, Orders'!$N:$N,"Einzelplan 14",'MAIN DATA, Orders'!$G:$G,"Artillery",'MAIN DATA, Orders'!$Q:$Q,$A12))</f>
        <v>0</v>
      </c>
      <c r="D12" s="17">
        <f>(SUMIFS('MAIN DATA, Orders'!$I:$I,'MAIN DATA, Orders'!$C:$C,"Germany",'MAIN DATA, Orders'!$N:$N,"Sondervermögen",'MAIN DATA, Orders'!$G:$G,"Artillery",'MAIN DATA, Orders'!$Q:$Q,$A12))</f>
        <v>0</v>
      </c>
      <c r="E12" s="17">
        <f>(SUMIFS('MAIN DATA, Orders'!$I:$I,'MAIN DATA, Orders'!$C:$C,"Germany",'MAIN DATA, Orders'!$N:$N,"Einzelplan 60",'MAIN DATA, Orders'!$G:$G,"Artillery",'MAIN DATA, Orders'!$Q:$Q,$A12))</f>
        <v>0</v>
      </c>
    </row>
    <row r="13" spans="1:6">
      <c r="A13" s="72">
        <v>7</v>
      </c>
      <c r="B13" s="68">
        <v>44013</v>
      </c>
      <c r="C13" s="17">
        <f>(SUMIFS('MAIN DATA, Orders'!$I:$I,'MAIN DATA, Orders'!$C:$C,"Germany",'MAIN DATA, Orders'!$N:$N,"Einzelplan 14",'MAIN DATA, Orders'!$G:$G,"Artillery",'MAIN DATA, Orders'!$Q:$Q,$A13))</f>
        <v>0</v>
      </c>
      <c r="D13" s="17">
        <f>(SUMIFS('MAIN DATA, Orders'!$I:$I,'MAIN DATA, Orders'!$C:$C,"Germany",'MAIN DATA, Orders'!$N:$N,"Sondervermögen",'MAIN DATA, Orders'!$G:$G,"Artillery",'MAIN DATA, Orders'!$Q:$Q,$A13))</f>
        <v>0</v>
      </c>
      <c r="E13" s="17">
        <f>(SUMIFS('MAIN DATA, Orders'!$I:$I,'MAIN DATA, Orders'!$C:$C,"Germany",'MAIN DATA, Orders'!$N:$N,"Einzelplan 60",'MAIN DATA, Orders'!$G:$G,"Artillery",'MAIN DATA, Orders'!$Q:$Q,$A13))</f>
        <v>0</v>
      </c>
    </row>
    <row r="14" spans="1:6">
      <c r="A14" s="72">
        <v>8</v>
      </c>
      <c r="B14" s="68">
        <v>44044</v>
      </c>
      <c r="C14" s="17">
        <f>(SUMIFS('MAIN DATA, Orders'!$I:$I,'MAIN DATA, Orders'!$C:$C,"Germany",'MAIN DATA, Orders'!$N:$N,"Einzelplan 14",'MAIN DATA, Orders'!$G:$G,"Artillery",'MAIN DATA, Orders'!$Q:$Q,$A14))</f>
        <v>0</v>
      </c>
      <c r="D14" s="17">
        <f>(SUMIFS('MAIN DATA, Orders'!$I:$I,'MAIN DATA, Orders'!$C:$C,"Germany",'MAIN DATA, Orders'!$N:$N,"Sondervermögen",'MAIN DATA, Orders'!$G:$G,"Artillery",'MAIN DATA, Orders'!$Q:$Q,$A14))</f>
        <v>0</v>
      </c>
      <c r="E14" s="17">
        <f>(SUMIFS('MAIN DATA, Orders'!$I:$I,'MAIN DATA, Orders'!$C:$C,"Germany",'MAIN DATA, Orders'!$N:$N,"Einzelplan 60",'MAIN DATA, Orders'!$G:$G,"Artillery",'MAIN DATA, Orders'!$Q:$Q,$A14))</f>
        <v>0</v>
      </c>
    </row>
    <row r="15" spans="1:6">
      <c r="A15" s="72">
        <v>9</v>
      </c>
      <c r="B15" s="68">
        <v>44075</v>
      </c>
      <c r="C15" s="17">
        <f>(SUMIFS('MAIN DATA, Orders'!$I:$I,'MAIN DATA, Orders'!$C:$C,"Germany",'MAIN DATA, Orders'!$N:$N,"Einzelplan 14",'MAIN DATA, Orders'!$G:$G,"Artillery",'MAIN DATA, Orders'!$Q:$Q,$A15))</f>
        <v>0</v>
      </c>
      <c r="D15" s="17">
        <f>(SUMIFS('MAIN DATA, Orders'!$I:$I,'MAIN DATA, Orders'!$C:$C,"Germany",'MAIN DATA, Orders'!$N:$N,"Sondervermögen",'MAIN DATA, Orders'!$G:$G,"Artillery",'MAIN DATA, Orders'!$Q:$Q,$A15))</f>
        <v>0</v>
      </c>
      <c r="E15" s="17">
        <f>(SUMIFS('MAIN DATA, Orders'!$I:$I,'MAIN DATA, Orders'!$C:$C,"Germany",'MAIN DATA, Orders'!$N:$N,"Einzelplan 60",'MAIN DATA, Orders'!$G:$G,"Artillery",'MAIN DATA, Orders'!$Q:$Q,$A15))</f>
        <v>0</v>
      </c>
    </row>
    <row r="16" spans="1:6">
      <c r="A16" s="72">
        <v>10</v>
      </c>
      <c r="B16" s="68">
        <v>44105</v>
      </c>
      <c r="C16" s="17">
        <f>(SUMIFS('MAIN DATA, Orders'!$I:$I,'MAIN DATA, Orders'!$C:$C,"Germany",'MAIN DATA, Orders'!$N:$N,"Einzelplan 14",'MAIN DATA, Orders'!$G:$G,"Artillery",'MAIN DATA, Orders'!$Q:$Q,$A16))</f>
        <v>0</v>
      </c>
      <c r="D16" s="17">
        <f>(SUMIFS('MAIN DATA, Orders'!$I:$I,'MAIN DATA, Orders'!$C:$C,"Germany",'MAIN DATA, Orders'!$N:$N,"Sondervermögen",'MAIN DATA, Orders'!$G:$G,"Artillery",'MAIN DATA, Orders'!$Q:$Q,$A16))</f>
        <v>0</v>
      </c>
      <c r="E16" s="17">
        <f>(SUMIFS('MAIN DATA, Orders'!$I:$I,'MAIN DATA, Orders'!$C:$C,"Germany",'MAIN DATA, Orders'!$N:$N,"Einzelplan 60",'MAIN DATA, Orders'!$G:$G,"Artillery",'MAIN DATA, Orders'!$Q:$Q,$A16))</f>
        <v>0</v>
      </c>
    </row>
    <row r="17" spans="1:5">
      <c r="A17" s="72">
        <v>11</v>
      </c>
      <c r="B17" s="68">
        <v>44136</v>
      </c>
      <c r="C17" s="17">
        <f>(SUMIFS('MAIN DATA, Orders'!$I:$I,'MAIN DATA, Orders'!$C:$C,"Germany",'MAIN DATA, Orders'!$N:$N,"Einzelplan 14",'MAIN DATA, Orders'!$G:$G,"Artillery",'MAIN DATA, Orders'!$Q:$Q,$A17))</f>
        <v>0</v>
      </c>
      <c r="D17" s="17">
        <f>(SUMIFS('MAIN DATA, Orders'!$I:$I,'MAIN DATA, Orders'!$C:$C,"Germany",'MAIN DATA, Orders'!$N:$N,"Sondervermögen",'MAIN DATA, Orders'!$G:$G,"Artillery",'MAIN DATA, Orders'!$Q:$Q,$A17))</f>
        <v>0</v>
      </c>
      <c r="E17" s="17">
        <f>(SUMIFS('MAIN DATA, Orders'!$I:$I,'MAIN DATA, Orders'!$C:$C,"Germany",'MAIN DATA, Orders'!$N:$N,"Einzelplan 60",'MAIN DATA, Orders'!$G:$G,"Artillery",'MAIN DATA, Orders'!$Q:$Q,$A17))</f>
        <v>0</v>
      </c>
    </row>
    <row r="18" spans="1:5">
      <c r="A18" s="72">
        <v>12</v>
      </c>
      <c r="B18" s="68">
        <v>44166</v>
      </c>
      <c r="C18" s="17">
        <f>(SUMIFS('MAIN DATA, Orders'!$I:$I,'MAIN DATA, Orders'!$C:$C,"Germany",'MAIN DATA, Orders'!$N:$N,"Einzelplan 14",'MAIN DATA, Orders'!$G:$G,"Artillery",'MAIN DATA, Orders'!$Q:$Q,$A18))</f>
        <v>0</v>
      </c>
      <c r="D18" s="17">
        <f>(SUMIFS('MAIN DATA, Orders'!$I:$I,'MAIN DATA, Orders'!$C:$C,"Germany",'MAIN DATA, Orders'!$N:$N,"Sondervermögen",'MAIN DATA, Orders'!$G:$G,"Artillery",'MAIN DATA, Orders'!$Q:$Q,$A18))</f>
        <v>0</v>
      </c>
      <c r="E18" s="17">
        <f>(SUMIFS('MAIN DATA, Orders'!$I:$I,'MAIN DATA, Orders'!$C:$C,"Germany",'MAIN DATA, Orders'!$N:$N,"Einzelplan 60",'MAIN DATA, Orders'!$G:$G,"Artillery",'MAIN DATA, Orders'!$Q:$Q,$A18))</f>
        <v>0</v>
      </c>
    </row>
    <row r="19" spans="1:5">
      <c r="A19" s="72">
        <v>13</v>
      </c>
      <c r="B19" s="68">
        <v>44197</v>
      </c>
      <c r="C19" s="17">
        <f>(SUMIFS('MAIN DATA, Orders'!$I:$I,'MAIN DATA, Orders'!$C:$C,"Germany",'MAIN DATA, Orders'!$N:$N,"Einzelplan 14",'MAIN DATA, Orders'!$G:$G,"Artillery",'MAIN DATA, Orders'!$Q:$Q,$A19))</f>
        <v>0</v>
      </c>
      <c r="D19" s="17">
        <f>(SUMIFS('MAIN DATA, Orders'!$I:$I,'MAIN DATA, Orders'!$C:$C,"Germany",'MAIN DATA, Orders'!$N:$N,"Sondervermögen",'MAIN DATA, Orders'!$G:$G,"Artillery",'MAIN DATA, Orders'!$Q:$Q,$A19))</f>
        <v>0</v>
      </c>
      <c r="E19" s="17">
        <f>(SUMIFS('MAIN DATA, Orders'!$I:$I,'MAIN DATA, Orders'!$C:$C,"Germany",'MAIN DATA, Orders'!$N:$N,"Einzelplan 60",'MAIN DATA, Orders'!$G:$G,"Artillery",'MAIN DATA, Orders'!$Q:$Q,$A19))</f>
        <v>0</v>
      </c>
    </row>
    <row r="20" spans="1:5">
      <c r="A20" s="72">
        <v>14</v>
      </c>
      <c r="B20" s="68">
        <v>44228</v>
      </c>
      <c r="C20" s="17">
        <f>(SUMIFS('MAIN DATA, Orders'!$I:$I,'MAIN DATA, Orders'!$C:$C,"Germany",'MAIN DATA, Orders'!$N:$N,"Einzelplan 14",'MAIN DATA, Orders'!$G:$G,"Artillery",'MAIN DATA, Orders'!$Q:$Q,$A20))</f>
        <v>0</v>
      </c>
      <c r="D20" s="17">
        <f>(SUMIFS('MAIN DATA, Orders'!$I:$I,'MAIN DATA, Orders'!$C:$C,"Germany",'MAIN DATA, Orders'!$N:$N,"Sondervermögen",'MAIN DATA, Orders'!$G:$G,"Artillery",'MAIN DATA, Orders'!$Q:$Q,$A20))</f>
        <v>0</v>
      </c>
      <c r="E20" s="17">
        <f>(SUMIFS('MAIN DATA, Orders'!$I:$I,'MAIN DATA, Orders'!$C:$C,"Germany",'MAIN DATA, Orders'!$N:$N,"Einzelplan 60",'MAIN DATA, Orders'!$G:$G,"Artillery",'MAIN DATA, Orders'!$Q:$Q,$A20))</f>
        <v>0</v>
      </c>
    </row>
    <row r="21" spans="1:5">
      <c r="A21" s="72">
        <v>15</v>
      </c>
      <c r="B21" s="68">
        <v>44256</v>
      </c>
      <c r="C21" s="17">
        <f>(SUMIFS('MAIN DATA, Orders'!$I:$I,'MAIN DATA, Orders'!$C:$C,"Germany",'MAIN DATA, Orders'!$N:$N,"Einzelplan 14",'MAIN DATA, Orders'!$G:$G,"Artillery",'MAIN DATA, Orders'!$Q:$Q,$A21))</f>
        <v>0</v>
      </c>
      <c r="D21" s="17">
        <f>(SUMIFS('MAIN DATA, Orders'!$I:$I,'MAIN DATA, Orders'!$C:$C,"Germany",'MAIN DATA, Orders'!$N:$N,"Sondervermögen",'MAIN DATA, Orders'!$G:$G,"Artillery",'MAIN DATA, Orders'!$Q:$Q,$A21))</f>
        <v>0</v>
      </c>
      <c r="E21" s="17">
        <f>(SUMIFS('MAIN DATA, Orders'!$I:$I,'MAIN DATA, Orders'!$C:$C,"Germany",'MAIN DATA, Orders'!$N:$N,"Einzelplan 60",'MAIN DATA, Orders'!$G:$G,"Artillery",'MAIN DATA, Orders'!$Q:$Q,$A21))</f>
        <v>0</v>
      </c>
    </row>
    <row r="22" spans="1:5">
      <c r="A22" s="72">
        <v>16</v>
      </c>
      <c r="B22" s="68">
        <v>44287</v>
      </c>
      <c r="C22" s="17">
        <f>(SUMIFS('MAIN DATA, Orders'!$I:$I,'MAIN DATA, Orders'!$C:$C,"Germany",'MAIN DATA, Orders'!$N:$N,"Einzelplan 14",'MAIN DATA, Orders'!$G:$G,"Artillery",'MAIN DATA, Orders'!$Q:$Q,$A22))</f>
        <v>0</v>
      </c>
      <c r="D22" s="17">
        <f>(SUMIFS('MAIN DATA, Orders'!$I:$I,'MAIN DATA, Orders'!$C:$C,"Germany",'MAIN DATA, Orders'!$N:$N,"Sondervermögen",'MAIN DATA, Orders'!$G:$G,"Artillery",'MAIN DATA, Orders'!$Q:$Q,$A22))</f>
        <v>0</v>
      </c>
      <c r="E22" s="17">
        <f>(SUMIFS('MAIN DATA, Orders'!$I:$I,'MAIN DATA, Orders'!$C:$C,"Germany",'MAIN DATA, Orders'!$N:$N,"Einzelplan 60",'MAIN DATA, Orders'!$G:$G,"Artillery",'MAIN DATA, Orders'!$Q:$Q,$A22))</f>
        <v>0</v>
      </c>
    </row>
    <row r="23" spans="1:5">
      <c r="A23" s="72">
        <v>17</v>
      </c>
      <c r="B23" s="68">
        <v>44317</v>
      </c>
      <c r="C23" s="17">
        <f>(SUMIFS('MAIN DATA, Orders'!$I:$I,'MAIN DATA, Orders'!$C:$C,"Germany",'MAIN DATA, Orders'!$N:$N,"Einzelplan 14",'MAIN DATA, Orders'!$G:$G,"Artillery",'MAIN DATA, Orders'!$Q:$Q,$A23))</f>
        <v>0</v>
      </c>
      <c r="D23" s="17">
        <f>(SUMIFS('MAIN DATA, Orders'!$I:$I,'MAIN DATA, Orders'!$C:$C,"Germany",'MAIN DATA, Orders'!$N:$N,"Sondervermögen",'MAIN DATA, Orders'!$G:$G,"Artillery",'MAIN DATA, Orders'!$Q:$Q,$A23))</f>
        <v>0</v>
      </c>
      <c r="E23" s="17">
        <f>(SUMIFS('MAIN DATA, Orders'!$I:$I,'MAIN DATA, Orders'!$C:$C,"Germany",'MAIN DATA, Orders'!$N:$N,"Einzelplan 60",'MAIN DATA, Orders'!$G:$G,"Artillery",'MAIN DATA, Orders'!$Q:$Q,$A23))</f>
        <v>0</v>
      </c>
    </row>
    <row r="24" spans="1:5">
      <c r="A24" s="72">
        <v>18</v>
      </c>
      <c r="B24" s="68">
        <v>44348</v>
      </c>
      <c r="C24" s="17">
        <f>(SUMIFS('MAIN DATA, Orders'!$I:$I,'MAIN DATA, Orders'!$C:$C,"Germany",'MAIN DATA, Orders'!$N:$N,"Einzelplan 14",'MAIN DATA, Orders'!$G:$G,"Artillery",'MAIN DATA, Orders'!$Q:$Q,$A24))</f>
        <v>0</v>
      </c>
      <c r="D24" s="17">
        <f>(SUMIFS('MAIN DATA, Orders'!$I:$I,'MAIN DATA, Orders'!$C:$C,"Germany",'MAIN DATA, Orders'!$N:$N,"Sondervermögen",'MAIN DATA, Orders'!$G:$G,"Artillery",'MAIN DATA, Orders'!$Q:$Q,$A24))</f>
        <v>0</v>
      </c>
      <c r="E24" s="17">
        <f>(SUMIFS('MAIN DATA, Orders'!$I:$I,'MAIN DATA, Orders'!$C:$C,"Germany",'MAIN DATA, Orders'!$N:$N,"Einzelplan 60",'MAIN DATA, Orders'!$G:$G,"Artillery",'MAIN DATA, Orders'!$Q:$Q,$A24))</f>
        <v>0</v>
      </c>
    </row>
    <row r="25" spans="1:5">
      <c r="A25" s="72">
        <v>19</v>
      </c>
      <c r="B25" s="68">
        <v>44378</v>
      </c>
      <c r="C25" s="17">
        <f>(SUMIFS('MAIN DATA, Orders'!$I:$I,'MAIN DATA, Orders'!$C:$C,"Germany",'MAIN DATA, Orders'!$N:$N,"Einzelplan 14",'MAIN DATA, Orders'!$G:$G,"Artillery",'MAIN DATA, Orders'!$Q:$Q,$A25))</f>
        <v>0</v>
      </c>
      <c r="D25" s="17">
        <f>(SUMIFS('MAIN DATA, Orders'!$I:$I,'MAIN DATA, Orders'!$C:$C,"Germany",'MAIN DATA, Orders'!$N:$N,"Sondervermögen",'MAIN DATA, Orders'!$G:$G,"Artillery",'MAIN DATA, Orders'!$Q:$Q,$A25))</f>
        <v>0</v>
      </c>
      <c r="E25" s="17">
        <f>(SUMIFS('MAIN DATA, Orders'!$I:$I,'MAIN DATA, Orders'!$C:$C,"Germany",'MAIN DATA, Orders'!$N:$N,"Einzelplan 60",'MAIN DATA, Orders'!$G:$G,"Artillery",'MAIN DATA, Orders'!$Q:$Q,$A25))</f>
        <v>0</v>
      </c>
    </row>
    <row r="26" spans="1:5">
      <c r="A26" s="72">
        <v>20</v>
      </c>
      <c r="B26" s="68">
        <v>44409</v>
      </c>
      <c r="C26" s="17">
        <f>(SUMIFS('MAIN DATA, Orders'!$I:$I,'MAIN DATA, Orders'!$C:$C,"Germany",'MAIN DATA, Orders'!$N:$N,"Einzelplan 14",'MAIN DATA, Orders'!$G:$G,"Artillery",'MAIN DATA, Orders'!$Q:$Q,$A26))</f>
        <v>0</v>
      </c>
      <c r="D26" s="17">
        <f>(SUMIFS('MAIN DATA, Orders'!$I:$I,'MAIN DATA, Orders'!$C:$C,"Germany",'MAIN DATA, Orders'!$N:$N,"Sondervermögen",'MAIN DATA, Orders'!$G:$G,"Artillery",'MAIN DATA, Orders'!$Q:$Q,$A26))</f>
        <v>0</v>
      </c>
      <c r="E26" s="17">
        <f>(SUMIFS('MAIN DATA, Orders'!$I:$I,'MAIN DATA, Orders'!$C:$C,"Germany",'MAIN DATA, Orders'!$N:$N,"Einzelplan 60",'MAIN DATA, Orders'!$G:$G,"Artillery",'MAIN DATA, Orders'!$Q:$Q,$A26))</f>
        <v>0</v>
      </c>
    </row>
    <row r="27" spans="1:5">
      <c r="A27" s="72">
        <v>21</v>
      </c>
      <c r="B27" s="68">
        <v>44440</v>
      </c>
      <c r="C27" s="17">
        <f>(SUMIFS('MAIN DATA, Orders'!$I:$I,'MAIN DATA, Orders'!$C:$C,"Germany",'MAIN DATA, Orders'!$N:$N,"Einzelplan 14",'MAIN DATA, Orders'!$G:$G,"Artillery",'MAIN DATA, Orders'!$Q:$Q,$A27))</f>
        <v>0</v>
      </c>
      <c r="D27" s="17">
        <f>(SUMIFS('MAIN DATA, Orders'!$I:$I,'MAIN DATA, Orders'!$C:$C,"Germany",'MAIN DATA, Orders'!$N:$N,"Sondervermögen",'MAIN DATA, Orders'!$G:$G,"Artillery",'MAIN DATA, Orders'!$Q:$Q,$A27))</f>
        <v>0</v>
      </c>
      <c r="E27" s="17">
        <f>(SUMIFS('MAIN DATA, Orders'!$I:$I,'MAIN DATA, Orders'!$C:$C,"Germany",'MAIN DATA, Orders'!$N:$N,"Einzelplan 60",'MAIN DATA, Orders'!$G:$G,"Artillery",'MAIN DATA, Orders'!$Q:$Q,$A27))</f>
        <v>0</v>
      </c>
    </row>
    <row r="28" spans="1:5">
      <c r="A28" s="72">
        <v>22</v>
      </c>
      <c r="B28" s="68">
        <v>44470</v>
      </c>
      <c r="C28" s="17">
        <f>(SUMIFS('MAIN DATA, Orders'!$I:$I,'MAIN DATA, Orders'!$C:$C,"Germany",'MAIN DATA, Orders'!$N:$N,"Einzelplan 14",'MAIN DATA, Orders'!$G:$G,"Artillery",'MAIN DATA, Orders'!$Q:$Q,$A28))</f>
        <v>0</v>
      </c>
      <c r="D28" s="17">
        <f>(SUMIFS('MAIN DATA, Orders'!$I:$I,'MAIN DATA, Orders'!$C:$C,"Germany",'MAIN DATA, Orders'!$N:$N,"Sondervermögen",'MAIN DATA, Orders'!$G:$G,"Artillery",'MAIN DATA, Orders'!$Q:$Q,$A28))</f>
        <v>0</v>
      </c>
      <c r="E28" s="17">
        <f>(SUMIFS('MAIN DATA, Orders'!$I:$I,'MAIN DATA, Orders'!$C:$C,"Germany",'MAIN DATA, Orders'!$N:$N,"Einzelplan 60",'MAIN DATA, Orders'!$G:$G,"Artillery",'MAIN DATA, Orders'!$Q:$Q,$A28))</f>
        <v>0</v>
      </c>
    </row>
    <row r="29" spans="1:5">
      <c r="A29" s="72">
        <v>23</v>
      </c>
      <c r="B29" s="68">
        <v>44501</v>
      </c>
      <c r="C29" s="17">
        <f>(SUMIFS('MAIN DATA, Orders'!$I:$I,'MAIN DATA, Orders'!$C:$C,"Germany",'MAIN DATA, Orders'!$N:$N,"Einzelplan 14",'MAIN DATA, Orders'!$G:$G,"Artillery",'MAIN DATA, Orders'!$Q:$Q,$A29))</f>
        <v>0</v>
      </c>
      <c r="D29" s="17">
        <f>(SUMIFS('MAIN DATA, Orders'!$I:$I,'MAIN DATA, Orders'!$C:$C,"Germany",'MAIN DATA, Orders'!$N:$N,"Sondervermögen",'MAIN DATA, Orders'!$G:$G,"Artillery",'MAIN DATA, Orders'!$Q:$Q,$A29))</f>
        <v>0</v>
      </c>
      <c r="E29" s="17">
        <f>(SUMIFS('MAIN DATA, Orders'!$I:$I,'MAIN DATA, Orders'!$C:$C,"Germany",'MAIN DATA, Orders'!$N:$N,"Einzelplan 60",'MAIN DATA, Orders'!$G:$G,"Artillery",'MAIN DATA, Orders'!$Q:$Q,$A29))</f>
        <v>0</v>
      </c>
    </row>
    <row r="30" spans="1:5">
      <c r="A30" s="72">
        <v>24</v>
      </c>
      <c r="B30" s="68">
        <v>44531</v>
      </c>
      <c r="C30" s="17">
        <f>(SUMIFS('MAIN DATA, Orders'!$I:$I,'MAIN DATA, Orders'!$C:$C,"Germany",'MAIN DATA, Orders'!$N:$N,"Einzelplan 14",'MAIN DATA, Orders'!$G:$G,"Artillery",'MAIN DATA, Orders'!$Q:$Q,$A30))</f>
        <v>0</v>
      </c>
      <c r="D30" s="17">
        <f>(SUMIFS('MAIN DATA, Orders'!$I:$I,'MAIN DATA, Orders'!$C:$C,"Germany",'MAIN DATA, Orders'!$N:$N,"Sondervermögen",'MAIN DATA, Orders'!$G:$G,"Artillery",'MAIN DATA, Orders'!$Q:$Q,$A30))</f>
        <v>0</v>
      </c>
      <c r="E30" s="17">
        <f>(SUMIFS('MAIN DATA, Orders'!$I:$I,'MAIN DATA, Orders'!$C:$C,"Germany",'MAIN DATA, Orders'!$N:$N,"Einzelplan 60",'MAIN DATA, Orders'!$G:$G,"Artillery",'MAIN DATA, Orders'!$Q:$Q,$A30))</f>
        <v>0</v>
      </c>
    </row>
    <row r="31" spans="1:5">
      <c r="A31" s="72">
        <v>25</v>
      </c>
      <c r="B31" s="68">
        <v>44562</v>
      </c>
      <c r="C31" s="17">
        <f>(SUMIFS('MAIN DATA, Orders'!$I:$I,'MAIN DATA, Orders'!$C:$C,"Germany",'MAIN DATA, Orders'!$N:$N,"Einzelplan 14",'MAIN DATA, Orders'!$G:$G,"Artillery",'MAIN DATA, Orders'!$Q:$Q,$A31))</f>
        <v>0</v>
      </c>
      <c r="D31" s="17">
        <f>(SUMIFS('MAIN DATA, Orders'!$I:$I,'MAIN DATA, Orders'!$C:$C,"Germany",'MAIN DATA, Orders'!$N:$N,"Sondervermögen",'MAIN DATA, Orders'!$G:$G,"Artillery",'MAIN DATA, Orders'!$Q:$Q,$A31))</f>
        <v>0</v>
      </c>
      <c r="E31" s="17">
        <f>(SUMIFS('MAIN DATA, Orders'!$I:$I,'MAIN DATA, Orders'!$C:$C,"Germany",'MAIN DATA, Orders'!$N:$N,"Einzelplan 60",'MAIN DATA, Orders'!$G:$G,"Artillery",'MAIN DATA, Orders'!$Q:$Q,$A31))</f>
        <v>0</v>
      </c>
    </row>
    <row r="32" spans="1:5">
      <c r="A32" s="72">
        <v>26</v>
      </c>
      <c r="B32" s="68">
        <v>44593</v>
      </c>
      <c r="C32" s="17">
        <f>(SUMIFS('MAIN DATA, Orders'!$I:$I,'MAIN DATA, Orders'!$C:$C,"Germany",'MAIN DATA, Orders'!$N:$N,"Einzelplan 14",'MAIN DATA, Orders'!$G:$G,"Artillery",'MAIN DATA, Orders'!$Q:$Q,$A32))</f>
        <v>0</v>
      </c>
      <c r="D32" s="17">
        <f>(SUMIFS('MAIN DATA, Orders'!$I:$I,'MAIN DATA, Orders'!$C:$C,"Germany",'MAIN DATA, Orders'!$N:$N,"Sondervermögen",'MAIN DATA, Orders'!$G:$G,"Artillery",'MAIN DATA, Orders'!$Q:$Q,$A32))</f>
        <v>0</v>
      </c>
      <c r="E32" s="17">
        <f>(SUMIFS('MAIN DATA, Orders'!$I:$I,'MAIN DATA, Orders'!$C:$C,"Germany",'MAIN DATA, Orders'!$N:$N,"Einzelplan 60",'MAIN DATA, Orders'!$G:$G,"Artillery",'MAIN DATA, Orders'!$Q:$Q,$A32))</f>
        <v>0</v>
      </c>
    </row>
    <row r="33" spans="1:5">
      <c r="A33" s="72">
        <v>27</v>
      </c>
      <c r="B33" s="68">
        <v>44621</v>
      </c>
      <c r="C33" s="17">
        <f>(SUMIFS('MAIN DATA, Orders'!$I:$I,'MAIN DATA, Orders'!$C:$C,"Germany",'MAIN DATA, Orders'!$N:$N,"Einzelplan 14",'MAIN DATA, Orders'!$G:$G,"Artillery",'MAIN DATA, Orders'!$Q:$Q,$A33))</f>
        <v>0</v>
      </c>
      <c r="D33" s="17">
        <f>(SUMIFS('MAIN DATA, Orders'!$I:$I,'MAIN DATA, Orders'!$C:$C,"Germany",'MAIN DATA, Orders'!$N:$N,"Sondervermögen",'MAIN DATA, Orders'!$G:$G,"Artillery",'MAIN DATA, Orders'!$Q:$Q,$A33))</f>
        <v>0</v>
      </c>
      <c r="E33" s="17">
        <f>(SUMIFS('MAIN DATA, Orders'!$I:$I,'MAIN DATA, Orders'!$C:$C,"Germany",'MAIN DATA, Orders'!$N:$N,"Einzelplan 60",'MAIN DATA, Orders'!$G:$G,"Artillery",'MAIN DATA, Orders'!$Q:$Q,$A33))</f>
        <v>0</v>
      </c>
    </row>
    <row r="34" spans="1:5">
      <c r="A34" s="72">
        <v>28</v>
      </c>
      <c r="B34" s="68">
        <v>44652</v>
      </c>
      <c r="C34" s="17">
        <f>(SUMIFS('MAIN DATA, Orders'!$I:$I,'MAIN DATA, Orders'!$C:$C,"Germany",'MAIN DATA, Orders'!$N:$N,"Einzelplan 14",'MAIN DATA, Orders'!$G:$G,"Artillery",'MAIN DATA, Orders'!$Q:$Q,$A34))</f>
        <v>0</v>
      </c>
      <c r="D34" s="17">
        <f>(SUMIFS('MAIN DATA, Orders'!$I:$I,'MAIN DATA, Orders'!$C:$C,"Germany",'MAIN DATA, Orders'!$N:$N,"Sondervermögen",'MAIN DATA, Orders'!$G:$G,"Artillery",'MAIN DATA, Orders'!$Q:$Q,$A34))</f>
        <v>0</v>
      </c>
      <c r="E34" s="17">
        <f>(SUMIFS('MAIN DATA, Orders'!$I:$I,'MAIN DATA, Orders'!$C:$C,"Germany",'MAIN DATA, Orders'!$N:$N,"Einzelplan 60",'MAIN DATA, Orders'!$G:$G,"Artillery",'MAIN DATA, Orders'!$Q:$Q,$A34))</f>
        <v>0</v>
      </c>
    </row>
    <row r="35" spans="1:5">
      <c r="A35" s="72">
        <v>29</v>
      </c>
      <c r="B35" s="68">
        <v>44682</v>
      </c>
      <c r="C35" s="17">
        <f>(SUMIFS('MAIN DATA, Orders'!$I:$I,'MAIN DATA, Orders'!$C:$C,"Germany",'MAIN DATA, Orders'!$N:$N,"Einzelplan 14",'MAIN DATA, Orders'!$G:$G,"Artillery",'MAIN DATA, Orders'!$Q:$Q,$A35))</f>
        <v>0</v>
      </c>
      <c r="D35" s="17">
        <f>(SUMIFS('MAIN DATA, Orders'!$I:$I,'MAIN DATA, Orders'!$C:$C,"Germany",'MAIN DATA, Orders'!$N:$N,"Sondervermögen",'MAIN DATA, Orders'!$G:$G,"Artillery",'MAIN DATA, Orders'!$Q:$Q,$A35))</f>
        <v>0</v>
      </c>
      <c r="E35" s="17">
        <f>(SUMIFS('MAIN DATA, Orders'!$I:$I,'MAIN DATA, Orders'!$C:$C,"Germany",'MAIN DATA, Orders'!$N:$N,"Einzelplan 60",'MAIN DATA, Orders'!$G:$G,"Artillery",'MAIN DATA, Orders'!$Q:$Q,$A35))</f>
        <v>0</v>
      </c>
    </row>
    <row r="36" spans="1:5">
      <c r="A36" s="72">
        <v>30</v>
      </c>
      <c r="B36" s="68">
        <v>44713</v>
      </c>
      <c r="C36" s="17">
        <f>(SUMIFS('MAIN DATA, Orders'!$I:$I,'MAIN DATA, Orders'!$C:$C,"Germany",'MAIN DATA, Orders'!$N:$N,"Einzelplan 14",'MAIN DATA, Orders'!$G:$G,"Artillery",'MAIN DATA, Orders'!$Q:$Q,$A36))</f>
        <v>0</v>
      </c>
      <c r="D36" s="17">
        <f>(SUMIFS('MAIN DATA, Orders'!$I:$I,'MAIN DATA, Orders'!$C:$C,"Germany",'MAIN DATA, Orders'!$N:$N,"Sondervermögen",'MAIN DATA, Orders'!$G:$G,"Artillery",'MAIN DATA, Orders'!$Q:$Q,$A36))</f>
        <v>0</v>
      </c>
      <c r="E36" s="17">
        <f>(SUMIFS('MAIN DATA, Orders'!$I:$I,'MAIN DATA, Orders'!$C:$C,"Germany",'MAIN DATA, Orders'!$N:$N,"Einzelplan 60",'MAIN DATA, Orders'!$G:$G,"Artillery",'MAIN DATA, Orders'!$Q:$Q,$A36))</f>
        <v>0</v>
      </c>
    </row>
    <row r="37" spans="1:5">
      <c r="A37" s="72">
        <v>31</v>
      </c>
      <c r="B37" s="68">
        <v>44743</v>
      </c>
      <c r="C37" s="17">
        <f>(SUMIFS('MAIN DATA, Orders'!$I:$I,'MAIN DATA, Orders'!$C:$C,"Germany",'MAIN DATA, Orders'!$N:$N,"Einzelplan 14",'MAIN DATA, Orders'!$G:$G,"Artillery",'MAIN DATA, Orders'!$Q:$Q,$A37))</f>
        <v>0</v>
      </c>
      <c r="D37" s="17">
        <f>(SUMIFS('MAIN DATA, Orders'!$I:$I,'MAIN DATA, Orders'!$C:$C,"Germany",'MAIN DATA, Orders'!$N:$N,"Sondervermögen",'MAIN DATA, Orders'!$G:$G,"Artillery",'MAIN DATA, Orders'!$Q:$Q,$A37))</f>
        <v>0</v>
      </c>
      <c r="E37" s="17">
        <f>(SUMIFS('MAIN DATA, Orders'!$I:$I,'MAIN DATA, Orders'!$C:$C,"Germany",'MAIN DATA, Orders'!$N:$N,"Einzelplan 60",'MAIN DATA, Orders'!$G:$G,"Artillery",'MAIN DATA, Orders'!$Q:$Q,$A37))</f>
        <v>0</v>
      </c>
    </row>
    <row r="38" spans="1:5">
      <c r="A38" s="72">
        <v>32</v>
      </c>
      <c r="B38" s="68">
        <v>44774</v>
      </c>
      <c r="C38" s="17">
        <f>(SUMIFS('MAIN DATA, Orders'!$I:$I,'MAIN DATA, Orders'!$C:$C,"Germany",'MAIN DATA, Orders'!$N:$N,"Einzelplan 14",'MAIN DATA, Orders'!$G:$G,"Artillery",'MAIN DATA, Orders'!$Q:$Q,$A38))</f>
        <v>0</v>
      </c>
      <c r="D38" s="17">
        <f>(SUMIFS('MAIN DATA, Orders'!$I:$I,'MAIN DATA, Orders'!$C:$C,"Germany",'MAIN DATA, Orders'!$N:$N,"Sondervermögen",'MAIN DATA, Orders'!$G:$G,"Artillery",'MAIN DATA, Orders'!$Q:$Q,$A38))</f>
        <v>0</v>
      </c>
      <c r="E38" s="17">
        <f>(SUMIFS('MAIN DATA, Orders'!$I:$I,'MAIN DATA, Orders'!$C:$C,"Germany",'MAIN DATA, Orders'!$N:$N,"Einzelplan 60",'MAIN DATA, Orders'!$G:$G,"Artillery",'MAIN DATA, Orders'!$Q:$Q,$A38))</f>
        <v>0</v>
      </c>
    </row>
    <row r="39" spans="1:5">
      <c r="A39" s="72">
        <v>33</v>
      </c>
      <c r="B39" s="68">
        <v>44805</v>
      </c>
      <c r="C39" s="17">
        <f>(SUMIFS('MAIN DATA, Orders'!$I:$I,'MAIN DATA, Orders'!$C:$C,"Germany",'MAIN DATA, Orders'!$N:$N,"Einzelplan 14",'MAIN DATA, Orders'!$G:$G,"Artillery",'MAIN DATA, Orders'!$Q:$Q,$A39))</f>
        <v>0</v>
      </c>
      <c r="D39" s="17">
        <f>(SUMIFS('MAIN DATA, Orders'!$I:$I,'MAIN DATA, Orders'!$C:$C,"Germany",'MAIN DATA, Orders'!$N:$N,"Sondervermögen",'MAIN DATA, Orders'!$G:$G,"Artillery",'MAIN DATA, Orders'!$Q:$Q,$A39))</f>
        <v>0</v>
      </c>
      <c r="E39" s="17">
        <f>(SUMIFS('MAIN DATA, Orders'!$I:$I,'MAIN DATA, Orders'!$C:$C,"Germany",'MAIN DATA, Orders'!$N:$N,"Einzelplan 60",'MAIN DATA, Orders'!$G:$G,"Artillery",'MAIN DATA, Orders'!$Q:$Q,$A39))</f>
        <v>0</v>
      </c>
    </row>
    <row r="40" spans="1:5">
      <c r="A40" s="72">
        <v>34</v>
      </c>
      <c r="B40" s="68">
        <v>44835</v>
      </c>
      <c r="C40" s="17">
        <f>(SUMIFS('MAIN DATA, Orders'!$I:$I,'MAIN DATA, Orders'!$C:$C,"Germany",'MAIN DATA, Orders'!$N:$N,"Einzelplan 14",'MAIN DATA, Orders'!$G:$G,"Artillery",'MAIN DATA, Orders'!$Q:$Q,$A40))</f>
        <v>0</v>
      </c>
      <c r="D40" s="17">
        <f>(SUMIFS('MAIN DATA, Orders'!$I:$I,'MAIN DATA, Orders'!$C:$C,"Germany",'MAIN DATA, Orders'!$N:$N,"Sondervermögen",'MAIN DATA, Orders'!$G:$G,"Artillery",'MAIN DATA, Orders'!$Q:$Q,$A40))</f>
        <v>0</v>
      </c>
      <c r="E40" s="17">
        <f>(SUMIFS('MAIN DATA, Orders'!$I:$I,'MAIN DATA, Orders'!$C:$C,"Germany",'MAIN DATA, Orders'!$N:$N,"Einzelplan 60",'MAIN DATA, Orders'!$G:$G,"Artillery",'MAIN DATA, Orders'!$Q:$Q,$A40))</f>
        <v>0</v>
      </c>
    </row>
    <row r="41" spans="1:5">
      <c r="A41" s="72">
        <v>35</v>
      </c>
      <c r="B41" s="68">
        <v>44866</v>
      </c>
      <c r="C41" s="17">
        <f>(SUMIFS('MAIN DATA, Orders'!$I:$I,'MAIN DATA, Orders'!$C:$C,"Germany",'MAIN DATA, Orders'!$N:$N,"Einzelplan 14",'MAIN DATA, Orders'!$G:$G,"Artillery",'MAIN DATA, Orders'!$Q:$Q,$A41))</f>
        <v>0</v>
      </c>
      <c r="D41" s="17">
        <f>(SUMIFS('MAIN DATA, Orders'!$I:$I,'MAIN DATA, Orders'!$C:$C,"Germany",'MAIN DATA, Orders'!$N:$N,"Sondervermögen",'MAIN DATA, Orders'!$G:$G,"Artillery",'MAIN DATA, Orders'!$Q:$Q,$A41))</f>
        <v>0</v>
      </c>
      <c r="E41" s="17">
        <f>(SUMIFS('MAIN DATA, Orders'!$I:$I,'MAIN DATA, Orders'!$C:$C,"Germany",'MAIN DATA, Orders'!$N:$N,"Einzelplan 60",'MAIN DATA, Orders'!$G:$G,"Artillery",'MAIN DATA, Orders'!$Q:$Q,$A41))</f>
        <v>0</v>
      </c>
    </row>
    <row r="42" spans="1:5">
      <c r="A42" s="72">
        <v>36</v>
      </c>
      <c r="B42" s="68">
        <v>44896</v>
      </c>
      <c r="C42" s="17">
        <f>(SUMIFS('MAIN DATA, Orders'!$I:$I,'MAIN DATA, Orders'!$C:$C,"Germany",'MAIN DATA, Orders'!$N:$N,"Einzelplan 14",'MAIN DATA, Orders'!$G:$G,"Artillery",'MAIN DATA, Orders'!$Q:$Q,$A42))</f>
        <v>0</v>
      </c>
      <c r="D42" s="17">
        <f>(SUMIFS('MAIN DATA, Orders'!$I:$I,'MAIN DATA, Orders'!$C:$C,"Germany",'MAIN DATA, Orders'!$N:$N,"Sondervermögen",'MAIN DATA, Orders'!$G:$G,"Artillery",'MAIN DATA, Orders'!$Q:$Q,$A42))</f>
        <v>0</v>
      </c>
      <c r="E42" s="17">
        <f>(SUMIFS('MAIN DATA, Orders'!$I:$I,'MAIN DATA, Orders'!$C:$C,"Germany",'MAIN DATA, Orders'!$N:$N,"Einzelplan 60",'MAIN DATA, Orders'!$G:$G,"Artillery",'MAIN DATA, Orders'!$Q:$Q,$A42))</f>
        <v>0</v>
      </c>
    </row>
    <row r="43" spans="1:5">
      <c r="A43" s="72">
        <v>37</v>
      </c>
      <c r="B43" s="68">
        <v>44927</v>
      </c>
      <c r="C43" s="17">
        <f>(SUMIFS('MAIN DATA, Orders'!$I:$I,'MAIN DATA, Orders'!$C:$C,"Germany",'MAIN DATA, Orders'!$N:$N,"Einzelplan 14",'MAIN DATA, Orders'!$G:$G,"Artillery",'MAIN DATA, Orders'!$Q:$Q,$A43))</f>
        <v>0</v>
      </c>
      <c r="D43" s="17">
        <f>(SUMIFS('MAIN DATA, Orders'!$I:$I,'MAIN DATA, Orders'!$C:$C,"Germany",'MAIN DATA, Orders'!$N:$N,"Sondervermögen",'MAIN DATA, Orders'!$G:$G,"Artillery",'MAIN DATA, Orders'!$Q:$Q,$A43))</f>
        <v>0</v>
      </c>
      <c r="E43" s="17">
        <f>(SUMIFS('MAIN DATA, Orders'!$I:$I,'MAIN DATA, Orders'!$C:$C,"Germany",'MAIN DATA, Orders'!$N:$N,"Einzelplan 60",'MAIN DATA, Orders'!$G:$G,"Artillery",'MAIN DATA, Orders'!$Q:$Q,$A43))</f>
        <v>0</v>
      </c>
    </row>
    <row r="44" spans="1:5">
      <c r="A44" s="72">
        <v>38</v>
      </c>
      <c r="B44" s="68">
        <v>44958</v>
      </c>
      <c r="C44" s="17">
        <f>(SUMIFS('MAIN DATA, Orders'!$I:$I,'MAIN DATA, Orders'!$C:$C,"Germany",'MAIN DATA, Orders'!$N:$N,"Einzelplan 14",'MAIN DATA, Orders'!$G:$G,"Artillery",'MAIN DATA, Orders'!$Q:$Q,$A44))</f>
        <v>0</v>
      </c>
      <c r="D44" s="17">
        <f>(SUMIFS('MAIN DATA, Orders'!$I:$I,'MAIN DATA, Orders'!$C:$C,"Germany",'MAIN DATA, Orders'!$N:$N,"Sondervermögen",'MAIN DATA, Orders'!$G:$G,"Artillery",'MAIN DATA, Orders'!$Q:$Q,$A44))</f>
        <v>0</v>
      </c>
      <c r="E44" s="17">
        <f>(SUMIFS('MAIN DATA, Orders'!$I:$I,'MAIN DATA, Orders'!$C:$C,"Germany",'MAIN DATA, Orders'!$N:$N,"Einzelplan 60",'MAIN DATA, Orders'!$G:$G,"Artillery",'MAIN DATA, Orders'!$Q:$Q,$A44))</f>
        <v>0</v>
      </c>
    </row>
    <row r="45" spans="1:5">
      <c r="A45" s="72">
        <v>39</v>
      </c>
      <c r="B45" s="68">
        <v>44986</v>
      </c>
      <c r="C45" s="17">
        <f>(SUMIFS('MAIN DATA, Orders'!$I:$I,'MAIN DATA, Orders'!$C:$C,"Germany",'MAIN DATA, Orders'!$N:$N,"Einzelplan 14",'MAIN DATA, Orders'!$G:$G,"Artillery",'MAIN DATA, Orders'!$Q:$Q,$A45))</f>
        <v>0</v>
      </c>
      <c r="D45" s="17">
        <f>(SUMIFS('MAIN DATA, Orders'!$I:$I,'MAIN DATA, Orders'!$C:$C,"Germany",'MAIN DATA, Orders'!$N:$N,"Sondervermögen",'MAIN DATA, Orders'!$G:$G,"Artillery",'MAIN DATA, Orders'!$Q:$Q,$A45))</f>
        <v>0</v>
      </c>
      <c r="E45" s="17">
        <f>(SUMIFS('MAIN DATA, Orders'!$I:$I,'MAIN DATA, Orders'!$C:$C,"Germany",'MAIN DATA, Orders'!$N:$N,"Einzelplan 60",'MAIN DATA, Orders'!$G:$G,"Artillery",'MAIN DATA, Orders'!$Q:$Q,$A45))</f>
        <v>10</v>
      </c>
    </row>
    <row r="46" spans="1:5">
      <c r="A46" s="72">
        <v>40</v>
      </c>
      <c r="B46" s="68">
        <v>45017</v>
      </c>
      <c r="C46" s="17">
        <f>(SUMIFS('MAIN DATA, Orders'!$I:$I,'MAIN DATA, Orders'!$C:$C,"Germany",'MAIN DATA, Orders'!$N:$N,"Einzelplan 14",'MAIN DATA, Orders'!$G:$G,"Artillery",'MAIN DATA, Orders'!$Q:$Q,$A46))</f>
        <v>0</v>
      </c>
      <c r="D46" s="17">
        <f>(SUMIFS('MAIN DATA, Orders'!$I:$I,'MAIN DATA, Orders'!$C:$C,"Germany",'MAIN DATA, Orders'!$N:$N,"Sondervermögen",'MAIN DATA, Orders'!$G:$G,"Artillery",'MAIN DATA, Orders'!$Q:$Q,$A46))</f>
        <v>0</v>
      </c>
      <c r="E46" s="17">
        <f>(SUMIFS('MAIN DATA, Orders'!$I:$I,'MAIN DATA, Orders'!$C:$C,"Germany",'MAIN DATA, Orders'!$N:$N,"Einzelplan 60",'MAIN DATA, Orders'!$G:$G,"Artillery",'MAIN DATA, Orders'!$Q:$Q,$A46))</f>
        <v>0</v>
      </c>
    </row>
    <row r="47" spans="1:5">
      <c r="A47" s="72">
        <v>41</v>
      </c>
      <c r="B47" s="68">
        <v>45047</v>
      </c>
      <c r="C47" s="17">
        <f>(SUMIFS('MAIN DATA, Orders'!$I:$I,'MAIN DATA, Orders'!$C:$C,"Germany",'MAIN DATA, Orders'!$N:$N,"Einzelplan 14",'MAIN DATA, Orders'!$G:$G,"Artillery",'MAIN DATA, Orders'!$Q:$Q,$A47))</f>
        <v>0</v>
      </c>
      <c r="D47" s="17">
        <f>(SUMIFS('MAIN DATA, Orders'!$I:$I,'MAIN DATA, Orders'!$C:$C,"Germany",'MAIN DATA, Orders'!$N:$N,"Sondervermögen",'MAIN DATA, Orders'!$G:$G,"Artillery",'MAIN DATA, Orders'!$Q:$Q,$A47))</f>
        <v>0</v>
      </c>
      <c r="E47" s="17">
        <f>(SUMIFS('MAIN DATA, Orders'!$I:$I,'MAIN DATA, Orders'!$C:$C,"Germany",'MAIN DATA, Orders'!$N:$N,"Einzelplan 60",'MAIN DATA, Orders'!$G:$G,"Artillery",'MAIN DATA, Orders'!$Q:$Q,$A47))</f>
        <v>12</v>
      </c>
    </row>
    <row r="48" spans="1:5">
      <c r="A48" s="72">
        <v>42</v>
      </c>
      <c r="B48" s="68">
        <v>45078</v>
      </c>
      <c r="C48" s="17">
        <f>(SUMIFS('MAIN DATA, Orders'!$I:$I,'MAIN DATA, Orders'!$C:$C,"Germany",'MAIN DATA, Orders'!$N:$N,"Einzelplan 14",'MAIN DATA, Orders'!$G:$G,"Artillery",'MAIN DATA, Orders'!$Q:$Q,$A48))</f>
        <v>0</v>
      </c>
      <c r="D48" s="17">
        <f>(SUMIFS('MAIN DATA, Orders'!$I:$I,'MAIN DATA, Orders'!$C:$C,"Germany",'MAIN DATA, Orders'!$N:$N,"Sondervermögen",'MAIN DATA, Orders'!$G:$G,"Artillery",'MAIN DATA, Orders'!$Q:$Q,$A48))</f>
        <v>0</v>
      </c>
      <c r="E48" s="17">
        <f>(SUMIFS('MAIN DATA, Orders'!$I:$I,'MAIN DATA, Orders'!$C:$C,"Germany",'MAIN DATA, Orders'!$N:$N,"Einzelplan 60",'MAIN DATA, Orders'!$G:$G,"Artillery",'MAIN DATA, Orders'!$Q:$Q,$A48))</f>
        <v>0</v>
      </c>
    </row>
    <row r="49" spans="1:5">
      <c r="A49" s="72">
        <v>43</v>
      </c>
      <c r="B49" s="68">
        <v>45108</v>
      </c>
      <c r="C49" s="17">
        <f>(SUMIFS('MAIN DATA, Orders'!$I:$I,'MAIN DATA, Orders'!$C:$C,"Germany",'MAIN DATA, Orders'!$N:$N,"Einzelplan 14",'MAIN DATA, Orders'!$G:$G,"Artillery",'MAIN DATA, Orders'!$Q:$Q,$A49))</f>
        <v>0</v>
      </c>
      <c r="D49" s="17">
        <f>(SUMIFS('MAIN DATA, Orders'!$I:$I,'MAIN DATA, Orders'!$C:$C,"Germany",'MAIN DATA, Orders'!$N:$N,"Sondervermögen",'MAIN DATA, Orders'!$G:$G,"Artillery",'MAIN DATA, Orders'!$Q:$Q,$A49))</f>
        <v>0</v>
      </c>
      <c r="E49" s="17">
        <f>(SUMIFS('MAIN DATA, Orders'!$I:$I,'MAIN DATA, Orders'!$C:$C,"Germany",'MAIN DATA, Orders'!$N:$N,"Einzelplan 60",'MAIN DATA, Orders'!$G:$G,"Artillery",'MAIN DATA, Orders'!$Q:$Q,$A49))</f>
        <v>0</v>
      </c>
    </row>
    <row r="50" spans="1:5">
      <c r="A50" s="72">
        <v>44</v>
      </c>
      <c r="B50" s="68">
        <v>45139</v>
      </c>
      <c r="C50" s="17">
        <f>(SUMIFS('MAIN DATA, Orders'!$I:$I,'MAIN DATA, Orders'!$C:$C,"Germany",'MAIN DATA, Orders'!$N:$N,"Einzelplan 14",'MAIN DATA, Orders'!$G:$G,"Artillery",'MAIN DATA, Orders'!$Q:$Q,$A50))</f>
        <v>0</v>
      </c>
      <c r="D50" s="17">
        <f>(SUMIFS('MAIN DATA, Orders'!$I:$I,'MAIN DATA, Orders'!$C:$C,"Germany",'MAIN DATA, Orders'!$N:$N,"Sondervermögen",'MAIN DATA, Orders'!$G:$G,"Artillery",'MAIN DATA, Orders'!$Q:$Q,$A50))</f>
        <v>0</v>
      </c>
      <c r="E50" s="17">
        <f>(SUMIFS('MAIN DATA, Orders'!$I:$I,'MAIN DATA, Orders'!$C:$C,"Germany",'MAIN DATA, Orders'!$N:$N,"Einzelplan 60",'MAIN DATA, Orders'!$G:$G,"Artillery",'MAIN DATA, Orders'!$Q:$Q,$A50))</f>
        <v>0</v>
      </c>
    </row>
    <row r="51" spans="1:5">
      <c r="A51" s="72">
        <v>45</v>
      </c>
      <c r="B51" s="68">
        <v>45170</v>
      </c>
      <c r="C51" s="17">
        <f>(SUMIFS('MAIN DATA, Orders'!$I:$I,'MAIN DATA, Orders'!$C:$C,"Germany",'MAIN DATA, Orders'!$N:$N,"Einzelplan 14",'MAIN DATA, Orders'!$G:$G,"Artillery",'MAIN DATA, Orders'!$Q:$Q,$A51))</f>
        <v>0</v>
      </c>
      <c r="D51" s="17">
        <f>(SUMIFS('MAIN DATA, Orders'!$I:$I,'MAIN DATA, Orders'!$C:$C,"Germany",'MAIN DATA, Orders'!$N:$N,"Sondervermögen",'MAIN DATA, Orders'!$G:$G,"Artillery",'MAIN DATA, Orders'!$Q:$Q,$A51))</f>
        <v>0</v>
      </c>
      <c r="E51" s="17">
        <f>(SUMIFS('MAIN DATA, Orders'!$I:$I,'MAIN DATA, Orders'!$C:$C,"Germany",'MAIN DATA, Orders'!$N:$N,"Einzelplan 60",'MAIN DATA, Orders'!$G:$G,"Artillery",'MAIN DATA, Orders'!$Q:$Q,$A51))</f>
        <v>0</v>
      </c>
    </row>
    <row r="52" spans="1:5">
      <c r="A52" s="72">
        <v>46</v>
      </c>
      <c r="B52" s="68">
        <v>45200</v>
      </c>
      <c r="C52" s="17">
        <f>(SUMIFS('MAIN DATA, Orders'!$I:$I,'MAIN DATA, Orders'!$C:$C,"Germany",'MAIN DATA, Orders'!$N:$N,"Einzelplan 14",'MAIN DATA, Orders'!$G:$G,"Artillery",'MAIN DATA, Orders'!$Q:$Q,$A52))</f>
        <v>0</v>
      </c>
      <c r="D52" s="17">
        <f>(SUMIFS('MAIN DATA, Orders'!$I:$I,'MAIN DATA, Orders'!$C:$C,"Germany",'MAIN DATA, Orders'!$N:$N,"Sondervermögen",'MAIN DATA, Orders'!$G:$G,"Artillery",'MAIN DATA, Orders'!$Q:$Q,$A52))</f>
        <v>0</v>
      </c>
      <c r="E52" s="17">
        <f>(SUMIFS('MAIN DATA, Orders'!$I:$I,'MAIN DATA, Orders'!$C:$C,"Germany",'MAIN DATA, Orders'!$N:$N,"Einzelplan 60",'MAIN DATA, Orders'!$G:$G,"Artillery",'MAIN DATA, Orders'!$Q:$Q,$A52))</f>
        <v>0</v>
      </c>
    </row>
    <row r="53" spans="1:5">
      <c r="A53" s="72">
        <v>47</v>
      </c>
      <c r="B53" s="68">
        <v>45231</v>
      </c>
      <c r="C53" s="17">
        <f>(SUMIFS('MAIN DATA, Orders'!$I:$I,'MAIN DATA, Orders'!$C:$C,"Germany",'MAIN DATA, Orders'!$N:$N,"Einzelplan 14",'MAIN DATA, Orders'!$G:$G,"Artillery",'MAIN DATA, Orders'!$Q:$Q,$A53))</f>
        <v>0</v>
      </c>
      <c r="D53" s="17">
        <f>(SUMIFS('MAIN DATA, Orders'!$I:$I,'MAIN DATA, Orders'!$C:$C,"Germany",'MAIN DATA, Orders'!$N:$N,"Sondervermögen",'MAIN DATA, Orders'!$G:$G,"Artillery",'MAIN DATA, Orders'!$Q:$Q,$A53))</f>
        <v>0</v>
      </c>
      <c r="E53" s="17">
        <f>(SUMIFS('MAIN DATA, Orders'!$I:$I,'MAIN DATA, Orders'!$C:$C,"Germany",'MAIN DATA, Orders'!$N:$N,"Einzelplan 60",'MAIN DATA, Orders'!$G:$G,"Artillery",'MAIN DATA, Orders'!$Q:$Q,$A53))</f>
        <v>0</v>
      </c>
    </row>
    <row r="54" spans="1:5">
      <c r="A54" s="72">
        <v>48</v>
      </c>
      <c r="B54" s="68">
        <v>45261</v>
      </c>
      <c r="C54" s="17">
        <f>(SUMIFS('MAIN DATA, Orders'!$I:$I,'MAIN DATA, Orders'!$C:$C,"Germany",'MAIN DATA, Orders'!$N:$N,"Einzelplan 14",'MAIN DATA, Orders'!$G:$G,"Artillery",'MAIN DATA, Orders'!$Q:$Q,$A54))</f>
        <v>0</v>
      </c>
      <c r="D54" s="17">
        <f>(SUMIFS('MAIN DATA, Orders'!$I:$I,'MAIN DATA, Orders'!$C:$C,"Germany",'MAIN DATA, Orders'!$N:$N,"Sondervermögen",'MAIN DATA, Orders'!$G:$G,"Artillery",'MAIN DATA, Orders'!$Q:$Q,$A54))</f>
        <v>0</v>
      </c>
      <c r="E54" s="17">
        <f>(SUMIFS('MAIN DATA, Orders'!$I:$I,'MAIN DATA, Orders'!$C:$C,"Germany",'MAIN DATA, Orders'!$N:$N,"Einzelplan 60",'MAIN DATA, Orders'!$G:$G,"Artillery",'MAIN DATA, Orders'!$Q:$Q,$A54))</f>
        <v>0</v>
      </c>
    </row>
    <row r="55" spans="1:5">
      <c r="A55" s="72">
        <v>49</v>
      </c>
      <c r="B55" s="68">
        <v>45292</v>
      </c>
      <c r="C55" s="17">
        <f>(SUMIFS('MAIN DATA, Orders'!$I:$I,'MAIN DATA, Orders'!$C:$C,"Germany",'MAIN DATA, Orders'!$N:$N,"Einzelplan 14",'MAIN DATA, Orders'!$G:$G,"Artillery",'MAIN DATA, Orders'!$Q:$Q,$A55))</f>
        <v>0</v>
      </c>
      <c r="D55" s="17">
        <f>(SUMIFS('MAIN DATA, Orders'!$I:$I,'MAIN DATA, Orders'!$C:$C,"Germany",'MAIN DATA, Orders'!$N:$N,"Sondervermögen",'MAIN DATA, Orders'!$G:$G,"Artillery",'MAIN DATA, Orders'!$Q:$Q,$A55))</f>
        <v>0</v>
      </c>
      <c r="E55" s="17">
        <f>(SUMIFS('MAIN DATA, Orders'!$I:$I,'MAIN DATA, Orders'!$C:$C,"Germany",'MAIN DATA, Orders'!$N:$N,"Einzelplan 60",'MAIN DATA, Orders'!$G:$G,"Artillery",'MAIN DATA, Orders'!$Q:$Q,$A55))</f>
        <v>0</v>
      </c>
    </row>
    <row r="56" spans="1:5">
      <c r="A56" s="72">
        <v>50</v>
      </c>
      <c r="B56" s="68">
        <v>45323</v>
      </c>
      <c r="C56" s="17">
        <f>(SUMIFS('MAIN DATA, Orders'!$I:$I,'MAIN DATA, Orders'!$C:$C,"Germany",'MAIN DATA, Orders'!$N:$N,"Einzelplan 14",'MAIN DATA, Orders'!$G:$G,"Artillery",'MAIN DATA, Orders'!$Q:$Q,$A56))</f>
        <v>0</v>
      </c>
      <c r="D56" s="17">
        <f>(SUMIFS('MAIN DATA, Orders'!$I:$I,'MAIN DATA, Orders'!$C:$C,"Germany",'MAIN DATA, Orders'!$N:$N,"Sondervermögen",'MAIN DATA, Orders'!$G:$G,"Artillery",'MAIN DATA, Orders'!$Q:$Q,$A56))</f>
        <v>0</v>
      </c>
      <c r="E56" s="17">
        <f>(SUMIFS('MAIN DATA, Orders'!$I:$I,'MAIN DATA, Orders'!$C:$C,"Germany",'MAIN DATA, Orders'!$N:$N,"Einzelplan 60",'MAIN DATA, Orders'!$G:$G,"Artillery",'MAIN DATA, Orders'!$Q:$Q,$A56))</f>
        <v>0</v>
      </c>
    </row>
    <row r="57" spans="1:5">
      <c r="A57" s="72">
        <v>51</v>
      </c>
      <c r="B57" s="68">
        <v>45352</v>
      </c>
      <c r="C57" s="17">
        <f>(SUMIFS('MAIN DATA, Orders'!$I:$I,'MAIN DATA, Orders'!$C:$C,"Germany",'MAIN DATA, Orders'!$N:$N,"Einzelplan 14",'MAIN DATA, Orders'!$G:$G,"Artillery",'MAIN DATA, Orders'!$Q:$Q,$A57))</f>
        <v>0</v>
      </c>
      <c r="D57" s="17">
        <f>(SUMIFS('MAIN DATA, Orders'!$I:$I,'MAIN DATA, Orders'!$C:$C,"Germany",'MAIN DATA, Orders'!$N:$N,"Sondervermögen",'MAIN DATA, Orders'!$G:$G,"Artillery",'MAIN DATA, Orders'!$Q:$Q,$A57))</f>
        <v>0</v>
      </c>
      <c r="E57" s="17">
        <f>(SUMIFS('MAIN DATA, Orders'!$I:$I,'MAIN DATA, Orders'!$C:$C,"Germany",'MAIN DATA, Orders'!$N:$N,"Einzelplan 60",'MAIN DATA, Orders'!$G:$G,"Artillery",'MAIN DATA, Orders'!$Q:$Q,$A57))</f>
        <v>0</v>
      </c>
    </row>
    <row r="58" spans="1:5">
      <c r="A58" s="72">
        <v>52</v>
      </c>
      <c r="B58" s="68">
        <v>45383</v>
      </c>
      <c r="C58" s="17">
        <f>(SUMIFS('MAIN DATA, Orders'!$I:$I,'MAIN DATA, Orders'!$C:$C,"Germany",'MAIN DATA, Orders'!$N:$N,"Einzelplan 14",'MAIN DATA, Orders'!$G:$G,"Artillery",'MAIN DATA, Orders'!$Q:$Q,$A58))</f>
        <v>0</v>
      </c>
      <c r="D58" s="17">
        <f>(SUMIFS('MAIN DATA, Orders'!$I:$I,'MAIN DATA, Orders'!$C:$C,"Germany",'MAIN DATA, Orders'!$N:$N,"Sondervermögen",'MAIN DATA, Orders'!$G:$G,"Artillery",'MAIN DATA, Orders'!$Q:$Q,$A58))</f>
        <v>0</v>
      </c>
      <c r="E58" s="17">
        <f>(SUMIFS('MAIN DATA, Orders'!$I:$I,'MAIN DATA, Orders'!$C:$C,"Germany",'MAIN DATA, Orders'!$N:$N,"Einzelplan 60",'MAIN DATA, Orders'!$G:$G,"Artillery",'MAIN DATA, Orders'!$Q:$Q,$A58))</f>
        <v>0</v>
      </c>
    </row>
    <row r="59" spans="1:5">
      <c r="A59" s="72">
        <v>53</v>
      </c>
      <c r="B59" s="68">
        <v>45413</v>
      </c>
      <c r="C59" s="17">
        <f>(SUMIFS('MAIN DATA, Orders'!$I:$I,'MAIN DATA, Orders'!$C:$C,"Germany",'MAIN DATA, Orders'!$N:$N,"Einzelplan 14",'MAIN DATA, Orders'!$G:$G,"Artillery",'MAIN DATA, Orders'!$Q:$Q,$A59))</f>
        <v>0</v>
      </c>
      <c r="D59" s="17">
        <f>(SUMIFS('MAIN DATA, Orders'!$I:$I,'MAIN DATA, Orders'!$C:$C,"Germany",'MAIN DATA, Orders'!$N:$N,"Sondervermögen",'MAIN DATA, Orders'!$G:$G,"Artillery",'MAIN DATA, Orders'!$Q:$Q,$A59))</f>
        <v>0</v>
      </c>
      <c r="E59" s="17">
        <f>(SUMIFS('MAIN DATA, Orders'!$I:$I,'MAIN DATA, Orders'!$C:$C,"Germany",'MAIN DATA, Orders'!$N:$N,"Einzelplan 60",'MAIN DATA, Orders'!$G:$G,"Artillery",'MAIN DATA, Orders'!$Q:$Q,$A59))</f>
        <v>0</v>
      </c>
    </row>
    <row r="60" spans="1:5">
      <c r="A60" s="72">
        <v>54</v>
      </c>
      <c r="B60" s="68">
        <v>45444</v>
      </c>
      <c r="C60" s="17">
        <f>(SUMIFS('MAIN DATA, Orders'!$I:$I,'MAIN DATA, Orders'!$C:$C,"Germany",'MAIN DATA, Orders'!$N:$N,"Einzelplan 14",'MAIN DATA, Orders'!$G:$G,"Artillery",'MAIN DATA, Orders'!$Q:$Q,$A60))</f>
        <v>0</v>
      </c>
      <c r="D60" s="17">
        <f>(SUMIFS('MAIN DATA, Orders'!$I:$I,'MAIN DATA, Orders'!$C:$C,"Germany",'MAIN DATA, Orders'!$N:$N,"Sondervermögen",'MAIN DATA, Orders'!$G:$G,"Artillery",'MAIN DATA, Orders'!$Q:$Q,$A60))</f>
        <v>0</v>
      </c>
      <c r="E60" s="17">
        <f>(SUMIFS('MAIN DATA, Orders'!$I:$I,'MAIN DATA, Orders'!$C:$C,"Germany",'MAIN DATA, Orders'!$N:$N,"Einzelplan 60",'MAIN DATA, Orders'!$G:$G,"Artillery",'MAIN DATA, Orders'!$Q:$Q,$A60))</f>
        <v>0</v>
      </c>
    </row>
    <row r="61" spans="1:5">
      <c r="A61" s="72">
        <v>55</v>
      </c>
      <c r="B61" s="155">
        <v>45474</v>
      </c>
      <c r="C61" s="60">
        <f>(SUMIFS('MAIN DATA, Orders'!$I:$I,'MAIN DATA, Orders'!$C:$C,"Germany",'MAIN DATA, Orders'!$N:$N,"Einzelplan 14",'MAIN DATA, Orders'!$G:$G,"Artillery",'MAIN DATA, Orders'!$Q:$Q,$A61))</f>
        <v>0</v>
      </c>
      <c r="D61" s="60">
        <f>(SUMIFS('MAIN DATA, Orders'!$I:$I,'MAIN DATA, Orders'!$C:$C,"Germany",'MAIN DATA, Orders'!$N:$N,"Sondervermögen",'MAIN DATA, Orders'!$G:$G,"Artillery",'MAIN DATA, Orders'!$Q:$Q,$A61))</f>
        <v>0</v>
      </c>
      <c r="E61" s="60">
        <f>(SUMIFS('MAIN DATA, Orders'!$I:$I,'MAIN DATA, Orders'!$C:$C,"Germany",'MAIN DATA, Orders'!$N:$N,"Einzelplan 60",'MAIN DATA, Orders'!$G:$G,"Artillery",'MAIN DATA, Orders'!$Q:$Q,$A61))</f>
        <v>0</v>
      </c>
    </row>
    <row r="62" spans="1:5">
      <c r="A62" s="199"/>
      <c r="B62" s="199"/>
      <c r="C62" s="199"/>
      <c r="D62" s="199"/>
      <c r="E62" s="199"/>
    </row>
    <row r="63" spans="1:5">
      <c r="A63" s="199"/>
      <c r="B63" s="71" t="s">
        <v>1431</v>
      </c>
      <c r="C63" s="71">
        <f>SUM(C7:C61)</f>
        <v>0</v>
      </c>
      <c r="D63" s="71">
        <f>SUM(D7:D61)</f>
        <v>0</v>
      </c>
      <c r="E63" s="71">
        <f>SUM(E7:E61)</f>
        <v>22</v>
      </c>
    </row>
  </sheetData>
  <mergeCells count="1">
    <mergeCell ref="B4:F4"/>
  </mergeCell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334AD3-4F8E-4487-ABCF-98F2F7CFAE33}">
  <sheetPr>
    <tabColor theme="9" tint="0.59999389629810485"/>
  </sheetPr>
  <dimension ref="A2:F63"/>
  <sheetViews>
    <sheetView workbookViewId="0"/>
  </sheetViews>
  <sheetFormatPr defaultColWidth="8.69921875" defaultRowHeight="15.6"/>
  <cols>
    <col min="1" max="1" width="8.69921875" style="1"/>
    <col min="2" max="2" width="13.5" style="1" customWidth="1"/>
    <col min="3" max="3" width="20.69921875" style="1" bestFit="1" customWidth="1"/>
    <col min="4" max="4" width="23.69921875" style="1" bestFit="1" customWidth="1"/>
    <col min="5" max="5" width="20.69921875" style="1" bestFit="1" customWidth="1"/>
    <col min="6" max="16384" width="8.69921875" style="1"/>
  </cols>
  <sheetData>
    <row r="2" spans="1:6" ht="25.2">
      <c r="B2" s="67" t="s">
        <v>1664</v>
      </c>
    </row>
    <row r="4" spans="1:6" ht="130.19999999999999" customHeight="1">
      <c r="B4" s="206" t="s">
        <v>1665</v>
      </c>
      <c r="C4" s="206"/>
      <c r="D4" s="206"/>
      <c r="E4" s="206"/>
      <c r="F4" s="206"/>
    </row>
    <row r="6" spans="1:6" ht="21" customHeight="1">
      <c r="B6" s="161" t="s">
        <v>1404</v>
      </c>
      <c r="C6" s="162" t="s">
        <v>165</v>
      </c>
      <c r="D6" s="162" t="s">
        <v>665</v>
      </c>
      <c r="E6" s="162" t="s">
        <v>784</v>
      </c>
    </row>
    <row r="7" spans="1:6">
      <c r="A7" s="72">
        <v>1</v>
      </c>
      <c r="B7" s="68">
        <v>43831</v>
      </c>
      <c r="C7" s="61">
        <f>(SUMIFS('MAIN DATA, Orders'!$M:$M,'MAIN DATA, Orders'!$C:$C,"Germany",'MAIN DATA, Orders'!$N:$N,"Einzelplan 14",'MAIN DATA, Orders'!$G:$G,"Tank",'MAIN DATA, Orders'!$Q:$Q,$A7)/1000000000)</f>
        <v>0</v>
      </c>
      <c r="D7" s="61">
        <f>(SUMIFS('MAIN DATA, Orders'!$M:$M,'MAIN DATA, Orders'!$C:$C,"Germany",'MAIN DATA, Orders'!$N:$N,"Sondervermögen",'MAIN DATA, Orders'!$G:$G,"Tank",'MAIN DATA, Orders'!$Q:$Q,$A7)/1000000000)</f>
        <v>0</v>
      </c>
      <c r="E7" s="61">
        <f>(SUMIFS('MAIN DATA, Orders'!$M:$M,'MAIN DATA, Orders'!$C:$C,"Germany",'MAIN DATA, Orders'!$N:$N,"Einzelplan 60",'MAIN DATA, Orders'!$G:$G,"Tank",'MAIN DATA, Orders'!$Q:$Q,$A7)/1000000000)</f>
        <v>0</v>
      </c>
    </row>
    <row r="8" spans="1:6">
      <c r="A8" s="72">
        <v>2</v>
      </c>
      <c r="B8" s="68">
        <v>43862</v>
      </c>
      <c r="C8" s="61">
        <f>(SUMIFS('MAIN DATA, Orders'!$M:$M,'MAIN DATA, Orders'!$C:$C,"Germany",'MAIN DATA, Orders'!$N:$N,"Einzelplan 14",'MAIN DATA, Orders'!$G:$G,"Tank",'MAIN DATA, Orders'!$Q:$Q,$A8)/1000000000)</f>
        <v>0</v>
      </c>
      <c r="D8" s="61">
        <f>(SUMIFS('MAIN DATA, Orders'!$M:$M,'MAIN DATA, Orders'!$C:$C,"Germany",'MAIN DATA, Orders'!$N:$N,"Sondervermögen",'MAIN DATA, Orders'!$G:$G,"Tank",'MAIN DATA, Orders'!$Q:$Q,$A8)/1000000000)</f>
        <v>0</v>
      </c>
      <c r="E8" s="61">
        <f>(SUMIFS('MAIN DATA, Orders'!$M:$M,'MAIN DATA, Orders'!$C:$C,"Germany",'MAIN DATA, Orders'!$N:$N,"Einzelplan 60",'MAIN DATA, Orders'!$G:$G,"Tank",'MAIN DATA, Orders'!$Q:$Q,$A8)/1000000000)</f>
        <v>0</v>
      </c>
    </row>
    <row r="9" spans="1:6">
      <c r="A9" s="72">
        <v>3</v>
      </c>
      <c r="B9" s="68">
        <v>43891</v>
      </c>
      <c r="C9" s="61">
        <f>(SUMIFS('MAIN DATA, Orders'!$M:$M,'MAIN DATA, Orders'!$C:$C,"Germany",'MAIN DATA, Orders'!$N:$N,"Einzelplan 14",'MAIN DATA, Orders'!$G:$G,"Tank",'MAIN DATA, Orders'!$Q:$Q,$A9)/1000000000)</f>
        <v>0</v>
      </c>
      <c r="D9" s="61">
        <f>(SUMIFS('MAIN DATA, Orders'!$M:$M,'MAIN DATA, Orders'!$C:$C,"Germany",'MAIN DATA, Orders'!$N:$N,"Sondervermögen",'MAIN DATA, Orders'!$G:$G,"Tank",'MAIN DATA, Orders'!$Q:$Q,$A9)/1000000000)</f>
        <v>0</v>
      </c>
      <c r="E9" s="61">
        <f>(SUMIFS('MAIN DATA, Orders'!$M:$M,'MAIN DATA, Orders'!$C:$C,"Germany",'MAIN DATA, Orders'!$N:$N,"Einzelplan 60",'MAIN DATA, Orders'!$G:$G,"Tank",'MAIN DATA, Orders'!$Q:$Q,$A9)/1000000000)</f>
        <v>0</v>
      </c>
    </row>
    <row r="10" spans="1:6">
      <c r="A10" s="72">
        <v>4</v>
      </c>
      <c r="B10" s="68">
        <v>43922</v>
      </c>
      <c r="C10" s="61">
        <f>(SUMIFS('MAIN DATA, Orders'!$M:$M,'MAIN DATA, Orders'!$C:$C,"Germany",'MAIN DATA, Orders'!$N:$N,"Einzelplan 14",'MAIN DATA, Orders'!$G:$G,"Tank",'MAIN DATA, Orders'!$Q:$Q,$A10)/1000000000)</f>
        <v>0</v>
      </c>
      <c r="D10" s="61">
        <f>(SUMIFS('MAIN DATA, Orders'!$M:$M,'MAIN DATA, Orders'!$C:$C,"Germany",'MAIN DATA, Orders'!$N:$N,"Sondervermögen",'MAIN DATA, Orders'!$G:$G,"Tank",'MAIN DATA, Orders'!$Q:$Q,$A10)/1000000000)</f>
        <v>0</v>
      </c>
      <c r="E10" s="61">
        <f>(SUMIFS('MAIN DATA, Orders'!$M:$M,'MAIN DATA, Orders'!$C:$C,"Germany",'MAIN DATA, Orders'!$N:$N,"Einzelplan 60",'MAIN DATA, Orders'!$G:$G,"Tank",'MAIN DATA, Orders'!$Q:$Q,$A10)/1000000000)</f>
        <v>0</v>
      </c>
    </row>
    <row r="11" spans="1:6">
      <c r="A11" s="72">
        <v>5</v>
      </c>
      <c r="B11" s="68">
        <v>43952</v>
      </c>
      <c r="C11" s="61">
        <f>(SUMIFS('MAIN DATA, Orders'!$M:$M,'MAIN DATA, Orders'!$C:$C,"Germany",'MAIN DATA, Orders'!$N:$N,"Einzelplan 14",'MAIN DATA, Orders'!$G:$G,"Tank",'MAIN DATA, Orders'!$Q:$Q,$A11)/1000000000)</f>
        <v>0</v>
      </c>
      <c r="D11" s="61">
        <f>(SUMIFS('MAIN DATA, Orders'!$M:$M,'MAIN DATA, Orders'!$C:$C,"Germany",'MAIN DATA, Orders'!$N:$N,"Sondervermögen",'MAIN DATA, Orders'!$G:$G,"Tank",'MAIN DATA, Orders'!$Q:$Q,$A11)/1000000000)</f>
        <v>0</v>
      </c>
      <c r="E11" s="61">
        <f>(SUMIFS('MAIN DATA, Orders'!$M:$M,'MAIN DATA, Orders'!$C:$C,"Germany",'MAIN DATA, Orders'!$N:$N,"Einzelplan 60",'MAIN DATA, Orders'!$G:$G,"Tank",'MAIN DATA, Orders'!$Q:$Q,$A11)/1000000000)</f>
        <v>0</v>
      </c>
    </row>
    <row r="12" spans="1:6">
      <c r="A12" s="72">
        <v>6</v>
      </c>
      <c r="B12" s="68">
        <v>43983</v>
      </c>
      <c r="C12" s="61">
        <f>(SUMIFS('MAIN DATA, Orders'!$M:$M,'MAIN DATA, Orders'!$C:$C,"Germany",'MAIN DATA, Orders'!$N:$N,"Einzelplan 14",'MAIN DATA, Orders'!$G:$G,"Tank",'MAIN DATA, Orders'!$Q:$Q,$A12)/1000000000)</f>
        <v>0</v>
      </c>
      <c r="D12" s="61">
        <f>(SUMIFS('MAIN DATA, Orders'!$M:$M,'MAIN DATA, Orders'!$C:$C,"Germany",'MAIN DATA, Orders'!$N:$N,"Sondervermögen",'MAIN DATA, Orders'!$G:$G,"Tank",'MAIN DATA, Orders'!$Q:$Q,$A12)/1000000000)</f>
        <v>0</v>
      </c>
      <c r="E12" s="61">
        <f>(SUMIFS('MAIN DATA, Orders'!$M:$M,'MAIN DATA, Orders'!$C:$C,"Germany",'MAIN DATA, Orders'!$N:$N,"Einzelplan 60",'MAIN DATA, Orders'!$G:$G,"Tank",'MAIN DATA, Orders'!$Q:$Q,$A12)/1000000000)</f>
        <v>0</v>
      </c>
    </row>
    <row r="13" spans="1:6">
      <c r="A13" s="72">
        <v>7</v>
      </c>
      <c r="B13" s="68">
        <v>44013</v>
      </c>
      <c r="C13" s="61">
        <f>(SUMIFS('MAIN DATA, Orders'!$M:$M,'MAIN DATA, Orders'!$C:$C,"Germany",'MAIN DATA, Orders'!$N:$N,"Einzelplan 14",'MAIN DATA, Orders'!$G:$G,"Tank",'MAIN DATA, Orders'!$Q:$Q,$A13)/1000000000)</f>
        <v>0</v>
      </c>
      <c r="D13" s="61">
        <f>(SUMIFS('MAIN DATA, Orders'!$M:$M,'MAIN DATA, Orders'!$C:$C,"Germany",'MAIN DATA, Orders'!$N:$N,"Sondervermögen",'MAIN DATA, Orders'!$G:$G,"Tank",'MAIN DATA, Orders'!$Q:$Q,$A13)/1000000000)</f>
        <v>0</v>
      </c>
      <c r="E13" s="61">
        <f>(SUMIFS('MAIN DATA, Orders'!$M:$M,'MAIN DATA, Orders'!$C:$C,"Germany",'MAIN DATA, Orders'!$N:$N,"Einzelplan 60",'MAIN DATA, Orders'!$G:$G,"Tank",'MAIN DATA, Orders'!$Q:$Q,$A13)/1000000000)</f>
        <v>0</v>
      </c>
    </row>
    <row r="14" spans="1:6">
      <c r="A14" s="72">
        <v>8</v>
      </c>
      <c r="B14" s="68">
        <v>44044</v>
      </c>
      <c r="C14" s="61">
        <f>(SUMIFS('MAIN DATA, Orders'!$M:$M,'MAIN DATA, Orders'!$C:$C,"Germany",'MAIN DATA, Orders'!$N:$N,"Einzelplan 14",'MAIN DATA, Orders'!$G:$G,"Tank",'MAIN DATA, Orders'!$Q:$Q,$A14)/1000000000)</f>
        <v>0</v>
      </c>
      <c r="D14" s="61">
        <f>(SUMIFS('MAIN DATA, Orders'!$M:$M,'MAIN DATA, Orders'!$C:$C,"Germany",'MAIN DATA, Orders'!$N:$N,"Sondervermögen",'MAIN DATA, Orders'!$G:$G,"Tank",'MAIN DATA, Orders'!$Q:$Q,$A14)/1000000000)</f>
        <v>0</v>
      </c>
      <c r="E14" s="61">
        <f>(SUMIFS('MAIN DATA, Orders'!$M:$M,'MAIN DATA, Orders'!$C:$C,"Germany",'MAIN DATA, Orders'!$N:$N,"Einzelplan 60",'MAIN DATA, Orders'!$G:$G,"Tank",'MAIN DATA, Orders'!$Q:$Q,$A14)/1000000000)</f>
        <v>0</v>
      </c>
    </row>
    <row r="15" spans="1:6">
      <c r="A15" s="72">
        <v>9</v>
      </c>
      <c r="B15" s="68">
        <v>44075</v>
      </c>
      <c r="C15" s="61">
        <f>(SUMIFS('MAIN DATA, Orders'!$M:$M,'MAIN DATA, Orders'!$C:$C,"Germany",'MAIN DATA, Orders'!$N:$N,"Einzelplan 14",'MAIN DATA, Orders'!$G:$G,"Tank",'MAIN DATA, Orders'!$Q:$Q,$A15)/1000000000)</f>
        <v>0</v>
      </c>
      <c r="D15" s="61">
        <f>(SUMIFS('MAIN DATA, Orders'!$M:$M,'MAIN DATA, Orders'!$C:$C,"Germany",'MAIN DATA, Orders'!$N:$N,"Sondervermögen",'MAIN DATA, Orders'!$G:$G,"Tank",'MAIN DATA, Orders'!$Q:$Q,$A15)/1000000000)</f>
        <v>0</v>
      </c>
      <c r="E15" s="61">
        <f>(SUMIFS('MAIN DATA, Orders'!$M:$M,'MAIN DATA, Orders'!$C:$C,"Germany",'MAIN DATA, Orders'!$N:$N,"Einzelplan 60",'MAIN DATA, Orders'!$G:$G,"Tank",'MAIN DATA, Orders'!$Q:$Q,$A15)/1000000000)</f>
        <v>0</v>
      </c>
    </row>
    <row r="16" spans="1:6">
      <c r="A16" s="72">
        <v>10</v>
      </c>
      <c r="B16" s="68">
        <v>44105</v>
      </c>
      <c r="C16" s="61">
        <f>(SUMIFS('MAIN DATA, Orders'!$M:$M,'MAIN DATA, Orders'!$C:$C,"Germany",'MAIN DATA, Orders'!$N:$N,"Einzelplan 14",'MAIN DATA, Orders'!$G:$G,"Tank",'MAIN DATA, Orders'!$Q:$Q,$A16)/1000000000)</f>
        <v>0</v>
      </c>
      <c r="D16" s="61">
        <f>(SUMIFS('MAIN DATA, Orders'!$M:$M,'MAIN DATA, Orders'!$C:$C,"Germany",'MAIN DATA, Orders'!$N:$N,"Sondervermögen",'MAIN DATA, Orders'!$G:$G,"Tank",'MAIN DATA, Orders'!$Q:$Q,$A16)/1000000000)</f>
        <v>0</v>
      </c>
      <c r="E16" s="61">
        <f>(SUMIFS('MAIN DATA, Orders'!$M:$M,'MAIN DATA, Orders'!$C:$C,"Germany",'MAIN DATA, Orders'!$N:$N,"Einzelplan 60",'MAIN DATA, Orders'!$G:$G,"Tank",'MAIN DATA, Orders'!$Q:$Q,$A16)/1000000000)</f>
        <v>0</v>
      </c>
    </row>
    <row r="17" spans="1:5">
      <c r="A17" s="72">
        <v>11</v>
      </c>
      <c r="B17" s="68">
        <v>44136</v>
      </c>
      <c r="C17" s="61">
        <f>(SUMIFS('MAIN DATA, Orders'!$M:$M,'MAIN DATA, Orders'!$C:$C,"Germany",'MAIN DATA, Orders'!$N:$N,"Einzelplan 14",'MAIN DATA, Orders'!$G:$G,"Tank",'MAIN DATA, Orders'!$Q:$Q,$A17)/1000000000)</f>
        <v>0</v>
      </c>
      <c r="D17" s="61">
        <f>(SUMIFS('MAIN DATA, Orders'!$M:$M,'MAIN DATA, Orders'!$C:$C,"Germany",'MAIN DATA, Orders'!$N:$N,"Sondervermögen",'MAIN DATA, Orders'!$G:$G,"Tank",'MAIN DATA, Orders'!$Q:$Q,$A17)/1000000000)</f>
        <v>0</v>
      </c>
      <c r="E17" s="61">
        <f>(SUMIFS('MAIN DATA, Orders'!$M:$M,'MAIN DATA, Orders'!$C:$C,"Germany",'MAIN DATA, Orders'!$N:$N,"Einzelplan 60",'MAIN DATA, Orders'!$G:$G,"Tank",'MAIN DATA, Orders'!$Q:$Q,$A17)/1000000000)</f>
        <v>0</v>
      </c>
    </row>
    <row r="18" spans="1:5">
      <c r="A18" s="72">
        <v>12</v>
      </c>
      <c r="B18" s="68">
        <v>44166</v>
      </c>
      <c r="C18" s="61">
        <f>(SUMIFS('MAIN DATA, Orders'!$M:$M,'MAIN DATA, Orders'!$C:$C,"Germany",'MAIN DATA, Orders'!$N:$N,"Einzelplan 14",'MAIN DATA, Orders'!$G:$G,"Tank",'MAIN DATA, Orders'!$Q:$Q,$A18)/1000000000)</f>
        <v>0</v>
      </c>
      <c r="D18" s="61">
        <f>(SUMIFS('MAIN DATA, Orders'!$M:$M,'MAIN DATA, Orders'!$C:$C,"Germany",'MAIN DATA, Orders'!$N:$N,"Sondervermögen",'MAIN DATA, Orders'!$G:$G,"Tank",'MAIN DATA, Orders'!$Q:$Q,$A18)/1000000000)</f>
        <v>0</v>
      </c>
      <c r="E18" s="61">
        <f>(SUMIFS('MAIN DATA, Orders'!$M:$M,'MAIN DATA, Orders'!$C:$C,"Germany",'MAIN DATA, Orders'!$N:$N,"Einzelplan 60",'MAIN DATA, Orders'!$G:$G,"Tank",'MAIN DATA, Orders'!$Q:$Q,$A18)/1000000000)</f>
        <v>0</v>
      </c>
    </row>
    <row r="19" spans="1:5">
      <c r="A19" s="72">
        <v>13</v>
      </c>
      <c r="B19" s="68">
        <v>44197</v>
      </c>
      <c r="C19" s="61">
        <f>(SUMIFS('MAIN DATA, Orders'!$M:$M,'MAIN DATA, Orders'!$C:$C,"Germany",'MAIN DATA, Orders'!$N:$N,"Einzelplan 14",'MAIN DATA, Orders'!$G:$G,"Tank",'MAIN DATA, Orders'!$Q:$Q,$A19)/1000000000)</f>
        <v>0</v>
      </c>
      <c r="D19" s="61">
        <f>(SUMIFS('MAIN DATA, Orders'!$M:$M,'MAIN DATA, Orders'!$C:$C,"Germany",'MAIN DATA, Orders'!$N:$N,"Sondervermögen",'MAIN DATA, Orders'!$G:$G,"Tank",'MAIN DATA, Orders'!$Q:$Q,$A19)/1000000000)</f>
        <v>0</v>
      </c>
      <c r="E19" s="61">
        <f>(SUMIFS('MAIN DATA, Orders'!$M:$M,'MAIN DATA, Orders'!$C:$C,"Germany",'MAIN DATA, Orders'!$N:$N,"Einzelplan 60",'MAIN DATA, Orders'!$G:$G,"Tank",'MAIN DATA, Orders'!$Q:$Q,$A19)/1000000000)</f>
        <v>0</v>
      </c>
    </row>
    <row r="20" spans="1:5">
      <c r="A20" s="72">
        <v>14</v>
      </c>
      <c r="B20" s="68">
        <v>44228</v>
      </c>
      <c r="C20" s="61">
        <f>(SUMIFS('MAIN DATA, Orders'!$M:$M,'MAIN DATA, Orders'!$C:$C,"Germany",'MAIN DATA, Orders'!$N:$N,"Einzelplan 14",'MAIN DATA, Orders'!$G:$G,"Tank",'MAIN DATA, Orders'!$Q:$Q,$A20)/1000000000)</f>
        <v>0</v>
      </c>
      <c r="D20" s="61">
        <f>(SUMIFS('MAIN DATA, Orders'!$M:$M,'MAIN DATA, Orders'!$C:$C,"Germany",'MAIN DATA, Orders'!$N:$N,"Sondervermögen",'MAIN DATA, Orders'!$G:$G,"Tank",'MAIN DATA, Orders'!$Q:$Q,$A20)/1000000000)</f>
        <v>0</v>
      </c>
      <c r="E20" s="61">
        <f>(SUMIFS('MAIN DATA, Orders'!$M:$M,'MAIN DATA, Orders'!$C:$C,"Germany",'MAIN DATA, Orders'!$N:$N,"Einzelplan 60",'MAIN DATA, Orders'!$G:$G,"Tank",'MAIN DATA, Orders'!$Q:$Q,$A20)/1000000000)</f>
        <v>0</v>
      </c>
    </row>
    <row r="21" spans="1:5">
      <c r="A21" s="72">
        <v>15</v>
      </c>
      <c r="B21" s="68">
        <v>44256</v>
      </c>
      <c r="C21" s="61">
        <f>(SUMIFS('MAIN DATA, Orders'!$M:$M,'MAIN DATA, Orders'!$C:$C,"Germany",'MAIN DATA, Orders'!$N:$N,"Einzelplan 14",'MAIN DATA, Orders'!$G:$G,"Tank",'MAIN DATA, Orders'!$Q:$Q,$A21)/1000000000)</f>
        <v>0</v>
      </c>
      <c r="D21" s="61">
        <f>(SUMIFS('MAIN DATA, Orders'!$M:$M,'MAIN DATA, Orders'!$C:$C,"Germany",'MAIN DATA, Orders'!$N:$N,"Sondervermögen",'MAIN DATA, Orders'!$G:$G,"Tank",'MAIN DATA, Orders'!$Q:$Q,$A21)/1000000000)</f>
        <v>0</v>
      </c>
      <c r="E21" s="61">
        <f>(SUMIFS('MAIN DATA, Orders'!$M:$M,'MAIN DATA, Orders'!$C:$C,"Germany",'MAIN DATA, Orders'!$N:$N,"Einzelplan 60",'MAIN DATA, Orders'!$G:$G,"Tank",'MAIN DATA, Orders'!$Q:$Q,$A21)/1000000000)</f>
        <v>0</v>
      </c>
    </row>
    <row r="22" spans="1:5">
      <c r="A22" s="72">
        <v>16</v>
      </c>
      <c r="B22" s="68">
        <v>44287</v>
      </c>
      <c r="C22" s="61">
        <f>(SUMIFS('MAIN DATA, Orders'!$M:$M,'MAIN DATA, Orders'!$C:$C,"Germany",'MAIN DATA, Orders'!$N:$N,"Einzelplan 14",'MAIN DATA, Orders'!$G:$G,"Tank",'MAIN DATA, Orders'!$Q:$Q,$A22)/1000000000)</f>
        <v>0</v>
      </c>
      <c r="D22" s="61">
        <f>(SUMIFS('MAIN DATA, Orders'!$M:$M,'MAIN DATA, Orders'!$C:$C,"Germany",'MAIN DATA, Orders'!$N:$N,"Sondervermögen",'MAIN DATA, Orders'!$G:$G,"Tank",'MAIN DATA, Orders'!$Q:$Q,$A22)/1000000000)</f>
        <v>0</v>
      </c>
      <c r="E22" s="61">
        <f>(SUMIFS('MAIN DATA, Orders'!$M:$M,'MAIN DATA, Orders'!$C:$C,"Germany",'MAIN DATA, Orders'!$N:$N,"Einzelplan 60",'MAIN DATA, Orders'!$G:$G,"Tank",'MAIN DATA, Orders'!$Q:$Q,$A22)/1000000000)</f>
        <v>0</v>
      </c>
    </row>
    <row r="23" spans="1:5">
      <c r="A23" s="72">
        <v>17</v>
      </c>
      <c r="B23" s="68">
        <v>44317</v>
      </c>
      <c r="C23" s="61">
        <f>(SUMIFS('MAIN DATA, Orders'!$M:$M,'MAIN DATA, Orders'!$C:$C,"Germany",'MAIN DATA, Orders'!$N:$N,"Einzelplan 14",'MAIN DATA, Orders'!$G:$G,"Tank",'MAIN DATA, Orders'!$Q:$Q,$A23)/1000000000)</f>
        <v>0</v>
      </c>
      <c r="D23" s="61">
        <f>(SUMIFS('MAIN DATA, Orders'!$M:$M,'MAIN DATA, Orders'!$C:$C,"Germany",'MAIN DATA, Orders'!$N:$N,"Sondervermögen",'MAIN DATA, Orders'!$G:$G,"Tank",'MAIN DATA, Orders'!$Q:$Q,$A23)/1000000000)</f>
        <v>0</v>
      </c>
      <c r="E23" s="61">
        <f>(SUMIFS('MAIN DATA, Orders'!$M:$M,'MAIN DATA, Orders'!$C:$C,"Germany",'MAIN DATA, Orders'!$N:$N,"Einzelplan 60",'MAIN DATA, Orders'!$G:$G,"Tank",'MAIN DATA, Orders'!$Q:$Q,$A23)/1000000000)</f>
        <v>0</v>
      </c>
    </row>
    <row r="24" spans="1:5">
      <c r="A24" s="72">
        <v>18</v>
      </c>
      <c r="B24" s="68">
        <v>44348</v>
      </c>
      <c r="C24" s="61">
        <f>(SUMIFS('MAIN DATA, Orders'!$M:$M,'MAIN DATA, Orders'!$C:$C,"Germany",'MAIN DATA, Orders'!$N:$N,"Einzelplan 14",'MAIN DATA, Orders'!$G:$G,"Tank",'MAIN DATA, Orders'!$Q:$Q,$A24)/1000000000)</f>
        <v>0</v>
      </c>
      <c r="D24" s="61">
        <f>(SUMIFS('MAIN DATA, Orders'!$M:$M,'MAIN DATA, Orders'!$C:$C,"Germany",'MAIN DATA, Orders'!$N:$N,"Sondervermögen",'MAIN DATA, Orders'!$G:$G,"Tank",'MAIN DATA, Orders'!$Q:$Q,$A24)/1000000000)</f>
        <v>0</v>
      </c>
      <c r="E24" s="61">
        <f>(SUMIFS('MAIN DATA, Orders'!$M:$M,'MAIN DATA, Orders'!$C:$C,"Germany",'MAIN DATA, Orders'!$N:$N,"Einzelplan 60",'MAIN DATA, Orders'!$G:$G,"Tank",'MAIN DATA, Orders'!$Q:$Q,$A24)/1000000000)</f>
        <v>0</v>
      </c>
    </row>
    <row r="25" spans="1:5">
      <c r="A25" s="72">
        <v>19</v>
      </c>
      <c r="B25" s="68">
        <v>44378</v>
      </c>
      <c r="C25" s="61">
        <f>(SUMIFS('MAIN DATA, Orders'!$M:$M,'MAIN DATA, Orders'!$C:$C,"Germany",'MAIN DATA, Orders'!$N:$N,"Einzelplan 14",'MAIN DATA, Orders'!$G:$G,"Tank",'MAIN DATA, Orders'!$Q:$Q,$A25)/1000000000)</f>
        <v>0</v>
      </c>
      <c r="D25" s="61">
        <f>(SUMIFS('MAIN DATA, Orders'!$M:$M,'MAIN DATA, Orders'!$C:$C,"Germany",'MAIN DATA, Orders'!$N:$N,"Sondervermögen",'MAIN DATA, Orders'!$G:$G,"Tank",'MAIN DATA, Orders'!$Q:$Q,$A25)/1000000000)</f>
        <v>0</v>
      </c>
      <c r="E25" s="61">
        <f>(SUMIFS('MAIN DATA, Orders'!$M:$M,'MAIN DATA, Orders'!$C:$C,"Germany",'MAIN DATA, Orders'!$N:$N,"Einzelplan 60",'MAIN DATA, Orders'!$G:$G,"Tank",'MAIN DATA, Orders'!$Q:$Q,$A25)/1000000000)</f>
        <v>0</v>
      </c>
    </row>
    <row r="26" spans="1:5">
      <c r="A26" s="72">
        <v>20</v>
      </c>
      <c r="B26" s="68">
        <v>44409</v>
      </c>
      <c r="C26" s="61">
        <f>(SUMIFS('MAIN DATA, Orders'!$M:$M,'MAIN DATA, Orders'!$C:$C,"Germany",'MAIN DATA, Orders'!$N:$N,"Einzelplan 14",'MAIN DATA, Orders'!$G:$G,"Tank",'MAIN DATA, Orders'!$Q:$Q,$A26)/1000000000)</f>
        <v>0</v>
      </c>
      <c r="D26" s="61">
        <f>(SUMIFS('MAIN DATA, Orders'!$M:$M,'MAIN DATA, Orders'!$C:$C,"Germany",'MAIN DATA, Orders'!$N:$N,"Sondervermögen",'MAIN DATA, Orders'!$G:$G,"Tank",'MAIN DATA, Orders'!$Q:$Q,$A26)/1000000000)</f>
        <v>0</v>
      </c>
      <c r="E26" s="61">
        <f>(SUMIFS('MAIN DATA, Orders'!$M:$M,'MAIN DATA, Orders'!$C:$C,"Germany",'MAIN DATA, Orders'!$N:$N,"Einzelplan 60",'MAIN DATA, Orders'!$G:$G,"Tank",'MAIN DATA, Orders'!$Q:$Q,$A26)/1000000000)</f>
        <v>0</v>
      </c>
    </row>
    <row r="27" spans="1:5">
      <c r="A27" s="72">
        <v>21</v>
      </c>
      <c r="B27" s="68">
        <v>44440</v>
      </c>
      <c r="C27" s="61">
        <f>(SUMIFS('MAIN DATA, Orders'!$M:$M,'MAIN DATA, Orders'!$C:$C,"Germany",'MAIN DATA, Orders'!$N:$N,"Einzelplan 14",'MAIN DATA, Orders'!$G:$G,"Tank",'MAIN DATA, Orders'!$Q:$Q,$A27)/1000000000)</f>
        <v>0</v>
      </c>
      <c r="D27" s="61">
        <f>(SUMIFS('MAIN DATA, Orders'!$M:$M,'MAIN DATA, Orders'!$C:$C,"Germany",'MAIN DATA, Orders'!$N:$N,"Sondervermögen",'MAIN DATA, Orders'!$G:$G,"Tank",'MAIN DATA, Orders'!$Q:$Q,$A27)/1000000000)</f>
        <v>0</v>
      </c>
      <c r="E27" s="61">
        <f>(SUMIFS('MAIN DATA, Orders'!$M:$M,'MAIN DATA, Orders'!$C:$C,"Germany",'MAIN DATA, Orders'!$N:$N,"Einzelplan 60",'MAIN DATA, Orders'!$G:$G,"Tank",'MAIN DATA, Orders'!$Q:$Q,$A27)/1000000000)</f>
        <v>0</v>
      </c>
    </row>
    <row r="28" spans="1:5">
      <c r="A28" s="72">
        <v>22</v>
      </c>
      <c r="B28" s="68">
        <v>44470</v>
      </c>
      <c r="C28" s="61">
        <f>(SUMIFS('MAIN DATA, Orders'!$M:$M,'MAIN DATA, Orders'!$C:$C,"Germany",'MAIN DATA, Orders'!$N:$N,"Einzelplan 14",'MAIN DATA, Orders'!$G:$G,"Tank",'MAIN DATA, Orders'!$Q:$Q,$A28)/1000000000)</f>
        <v>0</v>
      </c>
      <c r="D28" s="61">
        <f>(SUMIFS('MAIN DATA, Orders'!$M:$M,'MAIN DATA, Orders'!$C:$C,"Germany",'MAIN DATA, Orders'!$N:$N,"Sondervermögen",'MAIN DATA, Orders'!$G:$G,"Tank",'MAIN DATA, Orders'!$Q:$Q,$A28)/1000000000)</f>
        <v>0</v>
      </c>
      <c r="E28" s="61">
        <f>(SUMIFS('MAIN DATA, Orders'!$M:$M,'MAIN DATA, Orders'!$C:$C,"Germany",'MAIN DATA, Orders'!$N:$N,"Einzelplan 60",'MAIN DATA, Orders'!$G:$G,"Tank",'MAIN DATA, Orders'!$Q:$Q,$A28)/1000000000)</f>
        <v>0</v>
      </c>
    </row>
    <row r="29" spans="1:5">
      <c r="A29" s="72">
        <v>23</v>
      </c>
      <c r="B29" s="68">
        <v>44501</v>
      </c>
      <c r="C29" s="61">
        <f>(SUMIFS('MAIN DATA, Orders'!$M:$M,'MAIN DATA, Orders'!$C:$C,"Germany",'MAIN DATA, Orders'!$N:$N,"Einzelplan 14",'MAIN DATA, Orders'!$G:$G,"Tank",'MAIN DATA, Orders'!$Q:$Q,$A29)/1000000000)</f>
        <v>0</v>
      </c>
      <c r="D29" s="61">
        <f>(SUMIFS('MAIN DATA, Orders'!$M:$M,'MAIN DATA, Orders'!$C:$C,"Germany",'MAIN DATA, Orders'!$N:$N,"Sondervermögen",'MAIN DATA, Orders'!$G:$G,"Tank",'MAIN DATA, Orders'!$Q:$Q,$A29)/1000000000)</f>
        <v>0</v>
      </c>
      <c r="E29" s="61">
        <f>(SUMIFS('MAIN DATA, Orders'!$M:$M,'MAIN DATA, Orders'!$C:$C,"Germany",'MAIN DATA, Orders'!$N:$N,"Einzelplan 60",'MAIN DATA, Orders'!$G:$G,"Tank",'MAIN DATA, Orders'!$Q:$Q,$A29)/1000000000)</f>
        <v>0</v>
      </c>
    </row>
    <row r="30" spans="1:5">
      <c r="A30" s="72">
        <v>24</v>
      </c>
      <c r="B30" s="68">
        <v>44531</v>
      </c>
      <c r="C30" s="61">
        <f>(SUMIFS('MAIN DATA, Orders'!$M:$M,'MAIN DATA, Orders'!$C:$C,"Germany",'MAIN DATA, Orders'!$N:$N,"Einzelplan 14",'MAIN DATA, Orders'!$G:$G,"Tank",'MAIN DATA, Orders'!$Q:$Q,$A30)/1000000000)</f>
        <v>0</v>
      </c>
      <c r="D30" s="61">
        <f>(SUMIFS('MAIN DATA, Orders'!$M:$M,'MAIN DATA, Orders'!$C:$C,"Germany",'MAIN DATA, Orders'!$N:$N,"Sondervermögen",'MAIN DATA, Orders'!$G:$G,"Tank",'MAIN DATA, Orders'!$Q:$Q,$A30)/1000000000)</f>
        <v>0</v>
      </c>
      <c r="E30" s="61">
        <f>(SUMIFS('MAIN DATA, Orders'!$M:$M,'MAIN DATA, Orders'!$C:$C,"Germany",'MAIN DATA, Orders'!$N:$N,"Einzelplan 60",'MAIN DATA, Orders'!$G:$G,"Tank",'MAIN DATA, Orders'!$Q:$Q,$A30)/1000000000)</f>
        <v>0</v>
      </c>
    </row>
    <row r="31" spans="1:5">
      <c r="A31" s="72">
        <v>25</v>
      </c>
      <c r="B31" s="68">
        <v>44562</v>
      </c>
      <c r="C31" s="61">
        <f>(SUMIFS('MAIN DATA, Orders'!$M:$M,'MAIN DATA, Orders'!$C:$C,"Germany",'MAIN DATA, Orders'!$N:$N,"Einzelplan 14",'MAIN DATA, Orders'!$G:$G,"Tank",'MAIN DATA, Orders'!$Q:$Q,$A31)/1000000000)</f>
        <v>0</v>
      </c>
      <c r="D31" s="61">
        <f>(SUMIFS('MAIN DATA, Orders'!$M:$M,'MAIN DATA, Orders'!$C:$C,"Germany",'MAIN DATA, Orders'!$N:$N,"Sondervermögen",'MAIN DATA, Orders'!$G:$G,"Tank",'MAIN DATA, Orders'!$Q:$Q,$A31)/1000000000)</f>
        <v>0</v>
      </c>
      <c r="E31" s="61">
        <f>(SUMIFS('MAIN DATA, Orders'!$M:$M,'MAIN DATA, Orders'!$C:$C,"Germany",'MAIN DATA, Orders'!$N:$N,"Einzelplan 60",'MAIN DATA, Orders'!$G:$G,"Tank",'MAIN DATA, Orders'!$Q:$Q,$A31)/1000000000)</f>
        <v>0</v>
      </c>
    </row>
    <row r="32" spans="1:5">
      <c r="A32" s="72">
        <v>26</v>
      </c>
      <c r="B32" s="68">
        <v>44593</v>
      </c>
      <c r="C32" s="61">
        <f>(SUMIFS('MAIN DATA, Orders'!$M:$M,'MAIN DATA, Orders'!$C:$C,"Germany",'MAIN DATA, Orders'!$N:$N,"Einzelplan 14",'MAIN DATA, Orders'!$G:$G,"Tank",'MAIN DATA, Orders'!$Q:$Q,$A32)/1000000000)</f>
        <v>0</v>
      </c>
      <c r="D32" s="61">
        <f>(SUMIFS('MAIN DATA, Orders'!$M:$M,'MAIN DATA, Orders'!$C:$C,"Germany",'MAIN DATA, Orders'!$N:$N,"Sondervermögen",'MAIN DATA, Orders'!$G:$G,"Tank",'MAIN DATA, Orders'!$Q:$Q,$A32)/1000000000)</f>
        <v>0</v>
      </c>
      <c r="E32" s="61">
        <f>(SUMIFS('MAIN DATA, Orders'!$M:$M,'MAIN DATA, Orders'!$C:$C,"Germany",'MAIN DATA, Orders'!$N:$N,"Einzelplan 60",'MAIN DATA, Orders'!$G:$G,"Tank",'MAIN DATA, Orders'!$Q:$Q,$A32)/1000000000)</f>
        <v>0</v>
      </c>
    </row>
    <row r="33" spans="1:5">
      <c r="A33" s="72">
        <v>27</v>
      </c>
      <c r="B33" s="68">
        <v>44621</v>
      </c>
      <c r="C33" s="61">
        <f>(SUMIFS('MAIN DATA, Orders'!$M:$M,'MAIN DATA, Orders'!$C:$C,"Germany",'MAIN DATA, Orders'!$N:$N,"Einzelplan 14",'MAIN DATA, Orders'!$G:$G,"Tank",'MAIN DATA, Orders'!$Q:$Q,$A33)/1000000000)</f>
        <v>0</v>
      </c>
      <c r="D33" s="61">
        <f>(SUMIFS('MAIN DATA, Orders'!$M:$M,'MAIN DATA, Orders'!$C:$C,"Germany",'MAIN DATA, Orders'!$N:$N,"Sondervermögen",'MAIN DATA, Orders'!$G:$G,"Tank",'MAIN DATA, Orders'!$Q:$Q,$A33)/1000000000)</f>
        <v>0</v>
      </c>
      <c r="E33" s="61">
        <f>(SUMIFS('MAIN DATA, Orders'!$M:$M,'MAIN DATA, Orders'!$C:$C,"Germany",'MAIN DATA, Orders'!$N:$N,"Einzelplan 60",'MAIN DATA, Orders'!$G:$G,"Tank",'MAIN DATA, Orders'!$Q:$Q,$A33)/1000000000)</f>
        <v>0</v>
      </c>
    </row>
    <row r="34" spans="1:5">
      <c r="A34" s="72">
        <v>28</v>
      </c>
      <c r="B34" s="68">
        <v>44652</v>
      </c>
      <c r="C34" s="61">
        <f>(SUMIFS('MAIN DATA, Orders'!$M:$M,'MAIN DATA, Orders'!$C:$C,"Germany",'MAIN DATA, Orders'!$N:$N,"Einzelplan 14",'MAIN DATA, Orders'!$G:$G,"Tank",'MAIN DATA, Orders'!$Q:$Q,$A34)/1000000000)</f>
        <v>0</v>
      </c>
      <c r="D34" s="61">
        <f>(SUMIFS('MAIN DATA, Orders'!$M:$M,'MAIN DATA, Orders'!$C:$C,"Germany",'MAIN DATA, Orders'!$N:$N,"Sondervermögen",'MAIN DATA, Orders'!$G:$G,"Tank",'MAIN DATA, Orders'!$Q:$Q,$A34)/1000000000)</f>
        <v>0</v>
      </c>
      <c r="E34" s="61">
        <f>(SUMIFS('MAIN DATA, Orders'!$M:$M,'MAIN DATA, Orders'!$C:$C,"Germany",'MAIN DATA, Orders'!$N:$N,"Einzelplan 60",'MAIN DATA, Orders'!$G:$G,"Tank",'MAIN DATA, Orders'!$Q:$Q,$A34)/1000000000)</f>
        <v>0</v>
      </c>
    </row>
    <row r="35" spans="1:5">
      <c r="A35" s="72">
        <v>29</v>
      </c>
      <c r="B35" s="68">
        <v>44682</v>
      </c>
      <c r="C35" s="61">
        <f>(SUMIFS('MAIN DATA, Orders'!$M:$M,'MAIN DATA, Orders'!$C:$C,"Germany",'MAIN DATA, Orders'!$N:$N,"Einzelplan 14",'MAIN DATA, Orders'!$G:$G,"Tank",'MAIN DATA, Orders'!$Q:$Q,$A35)/1000000000)</f>
        <v>0</v>
      </c>
      <c r="D35" s="61">
        <f>(SUMIFS('MAIN DATA, Orders'!$M:$M,'MAIN DATA, Orders'!$C:$C,"Germany",'MAIN DATA, Orders'!$N:$N,"Sondervermögen",'MAIN DATA, Orders'!$G:$G,"Tank",'MAIN DATA, Orders'!$Q:$Q,$A35)/1000000000)</f>
        <v>0</v>
      </c>
      <c r="E35" s="61">
        <f>(SUMIFS('MAIN DATA, Orders'!$M:$M,'MAIN DATA, Orders'!$C:$C,"Germany",'MAIN DATA, Orders'!$N:$N,"Einzelplan 60",'MAIN DATA, Orders'!$G:$G,"Tank",'MAIN DATA, Orders'!$Q:$Q,$A35)/1000000000)</f>
        <v>0</v>
      </c>
    </row>
    <row r="36" spans="1:5">
      <c r="A36" s="72">
        <v>30</v>
      </c>
      <c r="B36" s="68">
        <v>44713</v>
      </c>
      <c r="C36" s="61">
        <f>(SUMIFS('MAIN DATA, Orders'!$M:$M,'MAIN DATA, Orders'!$C:$C,"Germany",'MAIN DATA, Orders'!$N:$N,"Einzelplan 14",'MAIN DATA, Orders'!$G:$G,"Tank",'MAIN DATA, Orders'!$Q:$Q,$A36)/1000000000)</f>
        <v>0</v>
      </c>
      <c r="D36" s="61">
        <f>(SUMIFS('MAIN DATA, Orders'!$M:$M,'MAIN DATA, Orders'!$C:$C,"Germany",'MAIN DATA, Orders'!$N:$N,"Sondervermögen",'MAIN DATA, Orders'!$G:$G,"Tank",'MAIN DATA, Orders'!$Q:$Q,$A36)/1000000000)</f>
        <v>0</v>
      </c>
      <c r="E36" s="61">
        <f>(SUMIFS('MAIN DATA, Orders'!$M:$M,'MAIN DATA, Orders'!$C:$C,"Germany",'MAIN DATA, Orders'!$N:$N,"Einzelplan 60",'MAIN DATA, Orders'!$G:$G,"Tank",'MAIN DATA, Orders'!$Q:$Q,$A36)/1000000000)</f>
        <v>0</v>
      </c>
    </row>
    <row r="37" spans="1:5">
      <c r="A37" s="72">
        <v>31</v>
      </c>
      <c r="B37" s="68">
        <v>44743</v>
      </c>
      <c r="C37" s="61">
        <f>(SUMIFS('MAIN DATA, Orders'!$M:$M,'MAIN DATA, Orders'!$C:$C,"Germany",'MAIN DATA, Orders'!$N:$N,"Einzelplan 14",'MAIN DATA, Orders'!$G:$G,"Tank",'MAIN DATA, Orders'!$Q:$Q,$A37)/1000000000)</f>
        <v>0</v>
      </c>
      <c r="D37" s="61">
        <f>(SUMIFS('MAIN DATA, Orders'!$M:$M,'MAIN DATA, Orders'!$C:$C,"Germany",'MAIN DATA, Orders'!$N:$N,"Sondervermögen",'MAIN DATA, Orders'!$G:$G,"Tank",'MAIN DATA, Orders'!$Q:$Q,$A37)/1000000000)</f>
        <v>0</v>
      </c>
      <c r="E37" s="61">
        <f>(SUMIFS('MAIN DATA, Orders'!$M:$M,'MAIN DATA, Orders'!$C:$C,"Germany",'MAIN DATA, Orders'!$N:$N,"Einzelplan 60",'MAIN DATA, Orders'!$G:$G,"Tank",'MAIN DATA, Orders'!$Q:$Q,$A37)/1000000000)</f>
        <v>0</v>
      </c>
    </row>
    <row r="38" spans="1:5">
      <c r="A38" s="72">
        <v>32</v>
      </c>
      <c r="B38" s="68">
        <v>44774</v>
      </c>
      <c r="C38" s="61">
        <f>(SUMIFS('MAIN DATA, Orders'!$M:$M,'MAIN DATA, Orders'!$C:$C,"Germany",'MAIN DATA, Orders'!$N:$N,"Einzelplan 14",'MAIN DATA, Orders'!$G:$G,"Tank",'MAIN DATA, Orders'!$Q:$Q,$A38)/1000000000)</f>
        <v>0</v>
      </c>
      <c r="D38" s="61">
        <f>(SUMIFS('MAIN DATA, Orders'!$M:$M,'MAIN DATA, Orders'!$C:$C,"Germany",'MAIN DATA, Orders'!$N:$N,"Sondervermögen",'MAIN DATA, Orders'!$G:$G,"Tank",'MAIN DATA, Orders'!$Q:$Q,$A38)/1000000000)</f>
        <v>0</v>
      </c>
      <c r="E38" s="61">
        <f>(SUMIFS('MAIN DATA, Orders'!$M:$M,'MAIN DATA, Orders'!$C:$C,"Germany",'MAIN DATA, Orders'!$N:$N,"Einzelplan 60",'MAIN DATA, Orders'!$G:$G,"Tank",'MAIN DATA, Orders'!$Q:$Q,$A38)/1000000000)</f>
        <v>0</v>
      </c>
    </row>
    <row r="39" spans="1:5">
      <c r="A39" s="72">
        <v>33</v>
      </c>
      <c r="B39" s="68">
        <v>44805</v>
      </c>
      <c r="C39" s="61">
        <f>(SUMIFS('MAIN DATA, Orders'!$M:$M,'MAIN DATA, Orders'!$C:$C,"Germany",'MAIN DATA, Orders'!$N:$N,"Einzelplan 14",'MAIN DATA, Orders'!$G:$G,"Tank",'MAIN DATA, Orders'!$Q:$Q,$A39)/1000000000)</f>
        <v>0</v>
      </c>
      <c r="D39" s="61">
        <f>(SUMIFS('MAIN DATA, Orders'!$M:$M,'MAIN DATA, Orders'!$C:$C,"Germany",'MAIN DATA, Orders'!$N:$N,"Sondervermögen",'MAIN DATA, Orders'!$G:$G,"Tank",'MAIN DATA, Orders'!$Q:$Q,$A39)/1000000000)</f>
        <v>0</v>
      </c>
      <c r="E39" s="61">
        <f>(SUMIFS('MAIN DATA, Orders'!$M:$M,'MAIN DATA, Orders'!$C:$C,"Germany",'MAIN DATA, Orders'!$N:$N,"Einzelplan 60",'MAIN DATA, Orders'!$G:$G,"Tank",'MAIN DATA, Orders'!$Q:$Q,$A39)/1000000000)</f>
        <v>0</v>
      </c>
    </row>
    <row r="40" spans="1:5">
      <c r="A40" s="72">
        <v>34</v>
      </c>
      <c r="B40" s="68">
        <v>44835</v>
      </c>
      <c r="C40" s="61">
        <f>(SUMIFS('MAIN DATA, Orders'!$M:$M,'MAIN DATA, Orders'!$C:$C,"Germany",'MAIN DATA, Orders'!$N:$N,"Einzelplan 14",'MAIN DATA, Orders'!$G:$G,"Tank",'MAIN DATA, Orders'!$Q:$Q,$A40)/1000000000)</f>
        <v>0</v>
      </c>
      <c r="D40" s="61">
        <f>(SUMIFS('MAIN DATA, Orders'!$M:$M,'MAIN DATA, Orders'!$C:$C,"Germany",'MAIN DATA, Orders'!$N:$N,"Sondervermögen",'MAIN DATA, Orders'!$G:$G,"Tank",'MAIN DATA, Orders'!$Q:$Q,$A40)/1000000000)</f>
        <v>0</v>
      </c>
      <c r="E40" s="61">
        <f>(SUMIFS('MAIN DATA, Orders'!$M:$M,'MAIN DATA, Orders'!$C:$C,"Germany",'MAIN DATA, Orders'!$N:$N,"Einzelplan 60",'MAIN DATA, Orders'!$G:$G,"Tank",'MAIN DATA, Orders'!$Q:$Q,$A40)/1000000000)</f>
        <v>0</v>
      </c>
    </row>
    <row r="41" spans="1:5">
      <c r="A41" s="72">
        <v>35</v>
      </c>
      <c r="B41" s="68">
        <v>44866</v>
      </c>
      <c r="C41" s="61">
        <f>(SUMIFS('MAIN DATA, Orders'!$M:$M,'MAIN DATA, Orders'!$C:$C,"Germany",'MAIN DATA, Orders'!$N:$N,"Einzelplan 14",'MAIN DATA, Orders'!$G:$G,"Tank",'MAIN DATA, Orders'!$Q:$Q,$A41)/1000000000)</f>
        <v>0</v>
      </c>
      <c r="D41" s="61">
        <f>(SUMIFS('MAIN DATA, Orders'!$M:$M,'MAIN DATA, Orders'!$C:$C,"Germany",'MAIN DATA, Orders'!$N:$N,"Sondervermögen",'MAIN DATA, Orders'!$G:$G,"Tank",'MAIN DATA, Orders'!$Q:$Q,$A41)/1000000000)</f>
        <v>0</v>
      </c>
      <c r="E41" s="61">
        <f>(SUMIFS('MAIN DATA, Orders'!$M:$M,'MAIN DATA, Orders'!$C:$C,"Germany",'MAIN DATA, Orders'!$N:$N,"Einzelplan 60",'MAIN DATA, Orders'!$G:$G,"Tank",'MAIN DATA, Orders'!$Q:$Q,$A41)/1000000000)</f>
        <v>0</v>
      </c>
    </row>
    <row r="42" spans="1:5">
      <c r="A42" s="72">
        <v>36</v>
      </c>
      <c r="B42" s="68">
        <v>44896</v>
      </c>
      <c r="C42" s="61">
        <f>(SUMIFS('MAIN DATA, Orders'!$M:$M,'MAIN DATA, Orders'!$C:$C,"Germany",'MAIN DATA, Orders'!$N:$N,"Einzelplan 14",'MAIN DATA, Orders'!$G:$G,"Tank",'MAIN DATA, Orders'!$Q:$Q,$A42)/1000000000)</f>
        <v>0</v>
      </c>
      <c r="D42" s="61">
        <f>(SUMIFS('MAIN DATA, Orders'!$M:$M,'MAIN DATA, Orders'!$C:$C,"Germany",'MAIN DATA, Orders'!$N:$N,"Sondervermögen",'MAIN DATA, Orders'!$G:$G,"Tank",'MAIN DATA, Orders'!$Q:$Q,$A42)/1000000000)</f>
        <v>0</v>
      </c>
      <c r="E42" s="61">
        <f>(SUMIFS('MAIN DATA, Orders'!$M:$M,'MAIN DATA, Orders'!$C:$C,"Germany",'MAIN DATA, Orders'!$N:$N,"Einzelplan 60",'MAIN DATA, Orders'!$G:$G,"Tank",'MAIN DATA, Orders'!$Q:$Q,$A42)/1000000000)</f>
        <v>0</v>
      </c>
    </row>
    <row r="43" spans="1:5">
      <c r="A43" s="72">
        <v>37</v>
      </c>
      <c r="B43" s="68">
        <v>44927</v>
      </c>
      <c r="C43" s="61">
        <f>(SUMIFS('MAIN DATA, Orders'!$M:$M,'MAIN DATA, Orders'!$C:$C,"Germany",'MAIN DATA, Orders'!$N:$N,"Einzelplan 14",'MAIN DATA, Orders'!$G:$G,"Tank",'MAIN DATA, Orders'!$Q:$Q,$A43)/1000000000)</f>
        <v>0</v>
      </c>
      <c r="D43" s="61">
        <f>(SUMIFS('MAIN DATA, Orders'!$M:$M,'MAIN DATA, Orders'!$C:$C,"Germany",'MAIN DATA, Orders'!$N:$N,"Sondervermögen",'MAIN DATA, Orders'!$G:$G,"Tank",'MAIN DATA, Orders'!$Q:$Q,$A43)/1000000000)</f>
        <v>0</v>
      </c>
      <c r="E43" s="61">
        <f>(SUMIFS('MAIN DATA, Orders'!$M:$M,'MAIN DATA, Orders'!$C:$C,"Germany",'MAIN DATA, Orders'!$N:$N,"Einzelplan 60",'MAIN DATA, Orders'!$G:$G,"Tank",'MAIN DATA, Orders'!$Q:$Q,$A43)/1000000000)</f>
        <v>0</v>
      </c>
    </row>
    <row r="44" spans="1:5">
      <c r="A44" s="72">
        <v>38</v>
      </c>
      <c r="B44" s="68">
        <v>44958</v>
      </c>
      <c r="C44" s="61">
        <f>(SUMIFS('MAIN DATA, Orders'!$M:$M,'MAIN DATA, Orders'!$C:$C,"Germany",'MAIN DATA, Orders'!$N:$N,"Einzelplan 14",'MAIN DATA, Orders'!$G:$G,"Tank",'MAIN DATA, Orders'!$Q:$Q,$A44)/1000000000)</f>
        <v>0</v>
      </c>
      <c r="D44" s="61">
        <f>(SUMIFS('MAIN DATA, Orders'!$M:$M,'MAIN DATA, Orders'!$C:$C,"Germany",'MAIN DATA, Orders'!$N:$N,"Sondervermögen",'MAIN DATA, Orders'!$G:$G,"Tank",'MAIN DATA, Orders'!$Q:$Q,$A44)/1000000000)</f>
        <v>0</v>
      </c>
      <c r="E44" s="61">
        <f>(SUMIFS('MAIN DATA, Orders'!$M:$M,'MAIN DATA, Orders'!$C:$C,"Germany",'MAIN DATA, Orders'!$N:$N,"Einzelplan 60",'MAIN DATA, Orders'!$G:$G,"Tank",'MAIN DATA, Orders'!$Q:$Q,$A44)/1000000000)</f>
        <v>0</v>
      </c>
    </row>
    <row r="45" spans="1:5">
      <c r="A45" s="72">
        <v>39</v>
      </c>
      <c r="B45" s="68">
        <v>44986</v>
      </c>
      <c r="C45" s="61">
        <f>(SUMIFS('MAIN DATA, Orders'!$M:$M,'MAIN DATA, Orders'!$C:$C,"Germany",'MAIN DATA, Orders'!$N:$N,"Einzelplan 14",'MAIN DATA, Orders'!$G:$G,"Tank",'MAIN DATA, Orders'!$Q:$Q,$A45)/1000000000)</f>
        <v>0</v>
      </c>
      <c r="D45" s="61">
        <f>(SUMIFS('MAIN DATA, Orders'!$M:$M,'MAIN DATA, Orders'!$C:$C,"Germany",'MAIN DATA, Orders'!$N:$N,"Sondervermögen",'MAIN DATA, Orders'!$G:$G,"Tank",'MAIN DATA, Orders'!$Q:$Q,$A45)/1000000000)</f>
        <v>0</v>
      </c>
      <c r="E45" s="61">
        <f>(SUMIFS('MAIN DATA, Orders'!$M:$M,'MAIN DATA, Orders'!$C:$C,"Germany",'MAIN DATA, Orders'!$N:$N,"Einzelplan 60",'MAIN DATA, Orders'!$G:$G,"Tank",'MAIN DATA, Orders'!$Q:$Q,$A45)/1000000000)</f>
        <v>0</v>
      </c>
    </row>
    <row r="46" spans="1:5">
      <c r="A46" s="72">
        <v>40</v>
      </c>
      <c r="B46" s="68">
        <v>45017</v>
      </c>
      <c r="C46" s="61">
        <f>(SUMIFS('MAIN DATA, Orders'!$M:$M,'MAIN DATA, Orders'!$C:$C,"Germany",'MAIN DATA, Orders'!$N:$N,"Einzelplan 14",'MAIN DATA, Orders'!$G:$G,"Tank",'MAIN DATA, Orders'!$Q:$Q,$A46)/1000000000)</f>
        <v>0</v>
      </c>
      <c r="D46" s="61">
        <f>(SUMIFS('MAIN DATA, Orders'!$M:$M,'MAIN DATA, Orders'!$C:$C,"Germany",'MAIN DATA, Orders'!$N:$N,"Sondervermögen",'MAIN DATA, Orders'!$G:$G,"Tank",'MAIN DATA, Orders'!$Q:$Q,$A46)/1000000000)</f>
        <v>0</v>
      </c>
      <c r="E46" s="61">
        <f>(SUMIFS('MAIN DATA, Orders'!$M:$M,'MAIN DATA, Orders'!$C:$C,"Germany",'MAIN DATA, Orders'!$N:$N,"Einzelplan 60",'MAIN DATA, Orders'!$G:$G,"Tank",'MAIN DATA, Orders'!$Q:$Q,$A46)/1000000000)</f>
        <v>0</v>
      </c>
    </row>
    <row r="47" spans="1:5">
      <c r="A47" s="72">
        <v>41</v>
      </c>
      <c r="B47" s="68">
        <v>45047</v>
      </c>
      <c r="C47" s="61">
        <f>(SUMIFS('MAIN DATA, Orders'!$M:$M,'MAIN DATA, Orders'!$C:$C,"Germany",'MAIN DATA, Orders'!$N:$N,"Einzelplan 14",'MAIN DATA, Orders'!$G:$G,"Tank",'MAIN DATA, Orders'!$Q:$Q,$A47)/1000000000)</f>
        <v>0</v>
      </c>
      <c r="D47" s="61">
        <f>(SUMIFS('MAIN DATA, Orders'!$M:$M,'MAIN DATA, Orders'!$C:$C,"Germany",'MAIN DATA, Orders'!$N:$N,"Sondervermögen",'MAIN DATA, Orders'!$G:$G,"Tank",'MAIN DATA, Orders'!$Q:$Q,$A47)/1000000000)</f>
        <v>0</v>
      </c>
      <c r="E47" s="61">
        <f>(SUMIFS('MAIN DATA, Orders'!$M:$M,'MAIN DATA, Orders'!$C:$C,"Germany",'MAIN DATA, Orders'!$N:$N,"Einzelplan 60",'MAIN DATA, Orders'!$G:$G,"Tank",'MAIN DATA, Orders'!$Q:$Q,$A47)/1000000000)</f>
        <v>0.52559999999999996</v>
      </c>
    </row>
    <row r="48" spans="1:5">
      <c r="A48" s="72">
        <v>42</v>
      </c>
      <c r="B48" s="68">
        <v>45078</v>
      </c>
      <c r="C48" s="61">
        <f>(SUMIFS('MAIN DATA, Orders'!$M:$M,'MAIN DATA, Orders'!$C:$C,"Germany",'MAIN DATA, Orders'!$N:$N,"Einzelplan 14",'MAIN DATA, Orders'!$G:$G,"Tank",'MAIN DATA, Orders'!$Q:$Q,$A48)/1000000000)</f>
        <v>0</v>
      </c>
      <c r="D48" s="61">
        <f>(SUMIFS('MAIN DATA, Orders'!$M:$M,'MAIN DATA, Orders'!$C:$C,"Germany",'MAIN DATA, Orders'!$N:$N,"Sondervermögen",'MAIN DATA, Orders'!$G:$G,"Tank",'MAIN DATA, Orders'!$Q:$Q,$A48)/1000000000)</f>
        <v>0</v>
      </c>
      <c r="E48" s="61">
        <f>(SUMIFS('MAIN DATA, Orders'!$M:$M,'MAIN DATA, Orders'!$C:$C,"Germany",'MAIN DATA, Orders'!$N:$N,"Einzelplan 60",'MAIN DATA, Orders'!$G:$G,"Tank",'MAIN DATA, Orders'!$Q:$Q,$A48)/1000000000)</f>
        <v>0</v>
      </c>
    </row>
    <row r="49" spans="1:5">
      <c r="A49" s="72">
        <v>43</v>
      </c>
      <c r="B49" s="68">
        <v>45108</v>
      </c>
      <c r="C49" s="61">
        <f>(SUMIFS('MAIN DATA, Orders'!$M:$M,'MAIN DATA, Orders'!$C:$C,"Germany",'MAIN DATA, Orders'!$N:$N,"Einzelplan 14",'MAIN DATA, Orders'!$G:$G,"Tank",'MAIN DATA, Orders'!$Q:$Q,$A49)/1000000000)</f>
        <v>0</v>
      </c>
      <c r="D49" s="61">
        <f>(SUMIFS('MAIN DATA, Orders'!$M:$M,'MAIN DATA, Orders'!$C:$C,"Germany",'MAIN DATA, Orders'!$N:$N,"Sondervermögen",'MAIN DATA, Orders'!$G:$G,"Tank",'MAIN DATA, Orders'!$Q:$Q,$A49)/1000000000)</f>
        <v>0</v>
      </c>
      <c r="E49" s="61">
        <f>(SUMIFS('MAIN DATA, Orders'!$M:$M,'MAIN DATA, Orders'!$C:$C,"Germany",'MAIN DATA, Orders'!$N:$N,"Einzelplan 60",'MAIN DATA, Orders'!$G:$G,"Tank",'MAIN DATA, Orders'!$Q:$Q,$A49)/1000000000)</f>
        <v>0</v>
      </c>
    </row>
    <row r="50" spans="1:5">
      <c r="A50" s="72">
        <v>44</v>
      </c>
      <c r="B50" s="68">
        <v>45139</v>
      </c>
      <c r="C50" s="61">
        <f>(SUMIFS('MAIN DATA, Orders'!$M:$M,'MAIN DATA, Orders'!$C:$C,"Germany",'MAIN DATA, Orders'!$N:$N,"Einzelplan 14",'MAIN DATA, Orders'!$G:$G,"Tank",'MAIN DATA, Orders'!$Q:$Q,$A50)/1000000000)</f>
        <v>0</v>
      </c>
      <c r="D50" s="61">
        <f>(SUMIFS('MAIN DATA, Orders'!$M:$M,'MAIN DATA, Orders'!$C:$C,"Germany",'MAIN DATA, Orders'!$N:$N,"Sondervermögen",'MAIN DATA, Orders'!$G:$G,"Tank",'MAIN DATA, Orders'!$Q:$Q,$A50)/1000000000)</f>
        <v>0</v>
      </c>
      <c r="E50" s="61">
        <f>(SUMIFS('MAIN DATA, Orders'!$M:$M,'MAIN DATA, Orders'!$C:$C,"Germany",'MAIN DATA, Orders'!$N:$N,"Einzelplan 60",'MAIN DATA, Orders'!$G:$G,"Tank",'MAIN DATA, Orders'!$Q:$Q,$A50)/1000000000)</f>
        <v>0</v>
      </c>
    </row>
    <row r="51" spans="1:5">
      <c r="A51" s="72">
        <v>45</v>
      </c>
      <c r="B51" s="68">
        <v>45170</v>
      </c>
      <c r="C51" s="61">
        <f>(SUMIFS('MAIN DATA, Orders'!$M:$M,'MAIN DATA, Orders'!$C:$C,"Germany",'MAIN DATA, Orders'!$N:$N,"Einzelplan 14",'MAIN DATA, Orders'!$G:$G,"Tank",'MAIN DATA, Orders'!$Q:$Q,$A51)/1000000000)</f>
        <v>0</v>
      </c>
      <c r="D51" s="61">
        <f>(SUMIFS('MAIN DATA, Orders'!$M:$M,'MAIN DATA, Orders'!$C:$C,"Germany",'MAIN DATA, Orders'!$N:$N,"Sondervermögen",'MAIN DATA, Orders'!$G:$G,"Tank",'MAIN DATA, Orders'!$Q:$Q,$A51)/1000000000)</f>
        <v>0</v>
      </c>
      <c r="E51" s="61">
        <f>(SUMIFS('MAIN DATA, Orders'!$M:$M,'MAIN DATA, Orders'!$C:$C,"Germany",'MAIN DATA, Orders'!$N:$N,"Einzelplan 60",'MAIN DATA, Orders'!$G:$G,"Tank",'MAIN DATA, Orders'!$Q:$Q,$A51)/1000000000)</f>
        <v>0</v>
      </c>
    </row>
    <row r="52" spans="1:5">
      <c r="A52" s="72">
        <v>46</v>
      </c>
      <c r="B52" s="68">
        <v>45200</v>
      </c>
      <c r="C52" s="61">
        <f>(SUMIFS('MAIN DATA, Orders'!$M:$M,'MAIN DATA, Orders'!$C:$C,"Germany",'MAIN DATA, Orders'!$N:$N,"Einzelplan 14",'MAIN DATA, Orders'!$G:$G,"Tank",'MAIN DATA, Orders'!$Q:$Q,$A52)/1000000000)</f>
        <v>0</v>
      </c>
      <c r="D52" s="61">
        <f>(SUMIFS('MAIN DATA, Orders'!$M:$M,'MAIN DATA, Orders'!$C:$C,"Germany",'MAIN DATA, Orders'!$N:$N,"Sondervermögen",'MAIN DATA, Orders'!$G:$G,"Tank",'MAIN DATA, Orders'!$Q:$Q,$A52)/1000000000)</f>
        <v>0</v>
      </c>
      <c r="E52" s="61">
        <f>(SUMIFS('MAIN DATA, Orders'!$M:$M,'MAIN DATA, Orders'!$C:$C,"Germany",'MAIN DATA, Orders'!$N:$N,"Einzelplan 60",'MAIN DATA, Orders'!$G:$G,"Tank",'MAIN DATA, Orders'!$Q:$Q,$A52)/1000000000)</f>
        <v>0</v>
      </c>
    </row>
    <row r="53" spans="1:5">
      <c r="A53" s="72">
        <v>47</v>
      </c>
      <c r="B53" s="68">
        <v>45231</v>
      </c>
      <c r="C53" s="61">
        <f>(SUMIFS('MAIN DATA, Orders'!$M:$M,'MAIN DATA, Orders'!$C:$C,"Germany",'MAIN DATA, Orders'!$N:$N,"Einzelplan 14",'MAIN DATA, Orders'!$G:$G,"Tank",'MAIN DATA, Orders'!$Q:$Q,$A53)/1000000000)</f>
        <v>0</v>
      </c>
      <c r="D53" s="61">
        <f>(SUMIFS('MAIN DATA, Orders'!$M:$M,'MAIN DATA, Orders'!$C:$C,"Germany",'MAIN DATA, Orders'!$N:$N,"Sondervermögen",'MAIN DATA, Orders'!$G:$G,"Tank",'MAIN DATA, Orders'!$Q:$Q,$A53)/1000000000)</f>
        <v>0.192</v>
      </c>
      <c r="E53" s="61">
        <f>(SUMIFS('MAIN DATA, Orders'!$M:$M,'MAIN DATA, Orders'!$C:$C,"Germany",'MAIN DATA, Orders'!$N:$N,"Einzelplan 60",'MAIN DATA, Orders'!$G:$G,"Tank",'MAIN DATA, Orders'!$Q:$Q,$A53)/1000000000)</f>
        <v>0</v>
      </c>
    </row>
    <row r="54" spans="1:5">
      <c r="A54" s="72">
        <v>48</v>
      </c>
      <c r="B54" s="68">
        <v>45261</v>
      </c>
      <c r="C54" s="61">
        <f>(SUMIFS('MAIN DATA, Orders'!$M:$M,'MAIN DATA, Orders'!$C:$C,"Germany",'MAIN DATA, Orders'!$N:$N,"Einzelplan 14",'MAIN DATA, Orders'!$G:$G,"Tank",'MAIN DATA, Orders'!$Q:$Q,$A54)/1000000000)</f>
        <v>0</v>
      </c>
      <c r="D54" s="61">
        <f>(SUMIFS('MAIN DATA, Orders'!$M:$M,'MAIN DATA, Orders'!$C:$C,"Germany",'MAIN DATA, Orders'!$N:$N,"Sondervermögen",'MAIN DATA, Orders'!$G:$G,"Tank",'MAIN DATA, Orders'!$Q:$Q,$A54)/1000000000)</f>
        <v>0</v>
      </c>
      <c r="E54" s="61">
        <f>(SUMIFS('MAIN DATA, Orders'!$M:$M,'MAIN DATA, Orders'!$C:$C,"Germany",'MAIN DATA, Orders'!$N:$N,"Einzelplan 60",'MAIN DATA, Orders'!$G:$G,"Tank",'MAIN DATA, Orders'!$Q:$Q,$A54)/1000000000)</f>
        <v>0</v>
      </c>
    </row>
    <row r="55" spans="1:5">
      <c r="A55" s="72">
        <v>49</v>
      </c>
      <c r="B55" s="68">
        <v>45292</v>
      </c>
      <c r="C55" s="61">
        <f>(SUMIFS('MAIN DATA, Orders'!$M:$M,'MAIN DATA, Orders'!$C:$C,"Germany",'MAIN DATA, Orders'!$N:$N,"Einzelplan 14",'MAIN DATA, Orders'!$G:$G,"Tank",'MAIN DATA, Orders'!$Q:$Q,$A55)/1000000000)</f>
        <v>0</v>
      </c>
      <c r="D55" s="61">
        <f>(SUMIFS('MAIN DATA, Orders'!$M:$M,'MAIN DATA, Orders'!$C:$C,"Germany",'MAIN DATA, Orders'!$N:$N,"Sondervermögen",'MAIN DATA, Orders'!$G:$G,"Tank",'MAIN DATA, Orders'!$Q:$Q,$A55)/1000000000)</f>
        <v>0</v>
      </c>
      <c r="E55" s="61">
        <f>(SUMIFS('MAIN DATA, Orders'!$M:$M,'MAIN DATA, Orders'!$C:$C,"Germany",'MAIN DATA, Orders'!$N:$N,"Einzelplan 60",'MAIN DATA, Orders'!$G:$G,"Tank",'MAIN DATA, Orders'!$Q:$Q,$A55)/1000000000)</f>
        <v>0</v>
      </c>
    </row>
    <row r="56" spans="1:5">
      <c r="A56" s="72">
        <v>50</v>
      </c>
      <c r="B56" s="68">
        <v>45323</v>
      </c>
      <c r="C56" s="61">
        <f>(SUMIFS('MAIN DATA, Orders'!$M:$M,'MAIN DATA, Orders'!$C:$C,"Germany",'MAIN DATA, Orders'!$N:$N,"Einzelplan 14",'MAIN DATA, Orders'!$G:$G,"Tank",'MAIN DATA, Orders'!$Q:$Q,$A56)/1000000000)</f>
        <v>0</v>
      </c>
      <c r="D56" s="61">
        <f>(SUMIFS('MAIN DATA, Orders'!$M:$M,'MAIN DATA, Orders'!$C:$C,"Germany",'MAIN DATA, Orders'!$N:$N,"Sondervermögen",'MAIN DATA, Orders'!$G:$G,"Tank",'MAIN DATA, Orders'!$Q:$Q,$A56)/1000000000)</f>
        <v>0</v>
      </c>
      <c r="E56" s="61">
        <f>(SUMIFS('MAIN DATA, Orders'!$M:$M,'MAIN DATA, Orders'!$C:$C,"Germany",'MAIN DATA, Orders'!$N:$N,"Einzelplan 60",'MAIN DATA, Orders'!$G:$G,"Tank",'MAIN DATA, Orders'!$Q:$Q,$A56)/1000000000)</f>
        <v>0</v>
      </c>
    </row>
    <row r="57" spans="1:5">
      <c r="A57" s="72">
        <v>51</v>
      </c>
      <c r="B57" s="68">
        <v>45352</v>
      </c>
      <c r="C57" s="61">
        <f>(SUMIFS('MAIN DATA, Orders'!$M:$M,'MAIN DATA, Orders'!$C:$C,"Germany",'MAIN DATA, Orders'!$N:$N,"Einzelplan 14",'MAIN DATA, Orders'!$G:$G,"Tank",'MAIN DATA, Orders'!$Q:$Q,$A57)/1000000000)</f>
        <v>0</v>
      </c>
      <c r="D57" s="61">
        <f>(SUMIFS('MAIN DATA, Orders'!$M:$M,'MAIN DATA, Orders'!$C:$C,"Germany",'MAIN DATA, Orders'!$N:$N,"Sondervermögen",'MAIN DATA, Orders'!$G:$G,"Tank",'MAIN DATA, Orders'!$Q:$Q,$A57)/1000000000)</f>
        <v>0</v>
      </c>
      <c r="E57" s="61">
        <f>(SUMIFS('MAIN DATA, Orders'!$M:$M,'MAIN DATA, Orders'!$C:$C,"Germany",'MAIN DATA, Orders'!$N:$N,"Einzelplan 60",'MAIN DATA, Orders'!$G:$G,"Tank",'MAIN DATA, Orders'!$Q:$Q,$A57)/1000000000)</f>
        <v>0</v>
      </c>
    </row>
    <row r="58" spans="1:5">
      <c r="A58" s="72">
        <v>52</v>
      </c>
      <c r="B58" s="68">
        <v>45383</v>
      </c>
      <c r="C58" s="61">
        <f>(SUMIFS('MAIN DATA, Orders'!$M:$M,'MAIN DATA, Orders'!$C:$C,"Germany",'MAIN DATA, Orders'!$N:$N,"Einzelplan 14",'MAIN DATA, Orders'!$G:$G,"Tank",'MAIN DATA, Orders'!$Q:$Q,$A58)/1000000000)</f>
        <v>0</v>
      </c>
      <c r="D58" s="61">
        <f>(SUMIFS('MAIN DATA, Orders'!$M:$M,'MAIN DATA, Orders'!$C:$C,"Germany",'MAIN DATA, Orders'!$N:$N,"Sondervermögen",'MAIN DATA, Orders'!$G:$G,"Tank",'MAIN DATA, Orders'!$Q:$Q,$A58)/1000000000)</f>
        <v>0</v>
      </c>
      <c r="E58" s="61">
        <f>(SUMIFS('MAIN DATA, Orders'!$M:$M,'MAIN DATA, Orders'!$C:$C,"Germany",'MAIN DATA, Orders'!$N:$N,"Einzelplan 60",'MAIN DATA, Orders'!$G:$G,"Tank",'MAIN DATA, Orders'!$Q:$Q,$A58)/1000000000)</f>
        <v>0</v>
      </c>
    </row>
    <row r="59" spans="1:5">
      <c r="A59" s="72">
        <v>53</v>
      </c>
      <c r="B59" s="68">
        <v>45413</v>
      </c>
      <c r="C59" s="61">
        <f>(SUMIFS('MAIN DATA, Orders'!$M:$M,'MAIN DATA, Orders'!$C:$C,"Germany",'MAIN DATA, Orders'!$N:$N,"Einzelplan 14",'MAIN DATA, Orders'!$G:$G,"Tank",'MAIN DATA, Orders'!$Q:$Q,$A59)/1000000000)</f>
        <v>0</v>
      </c>
      <c r="D59" s="61">
        <f>(SUMIFS('MAIN DATA, Orders'!$M:$M,'MAIN DATA, Orders'!$C:$C,"Germany",'MAIN DATA, Orders'!$N:$N,"Sondervermögen",'MAIN DATA, Orders'!$G:$G,"Tank",'MAIN DATA, Orders'!$Q:$Q,$A59)/1000000000)</f>
        <v>0</v>
      </c>
      <c r="E59" s="61">
        <f>(SUMIFS('MAIN DATA, Orders'!$M:$M,'MAIN DATA, Orders'!$C:$C,"Germany",'MAIN DATA, Orders'!$N:$N,"Einzelplan 60",'MAIN DATA, Orders'!$G:$G,"Tank",'MAIN DATA, Orders'!$Q:$Q,$A59)/1000000000)</f>
        <v>0</v>
      </c>
    </row>
    <row r="60" spans="1:5">
      <c r="A60" s="72">
        <v>54</v>
      </c>
      <c r="B60" s="68">
        <v>45444</v>
      </c>
      <c r="C60" s="61">
        <f>(SUMIFS('MAIN DATA, Orders'!$M:$M,'MAIN DATA, Orders'!$C:$C,"Germany",'MAIN DATA, Orders'!$N:$N,"Einzelplan 14",'MAIN DATA, Orders'!$G:$G,"Tank",'MAIN DATA, Orders'!$Q:$Q,$A60)/1000000000)</f>
        <v>0</v>
      </c>
      <c r="D60" s="61">
        <f>(SUMIFS('MAIN DATA, Orders'!$M:$M,'MAIN DATA, Orders'!$C:$C,"Germany",'MAIN DATA, Orders'!$N:$N,"Sondervermögen",'MAIN DATA, Orders'!$G:$G,"Tank",'MAIN DATA, Orders'!$Q:$Q,$A60)/1000000000)</f>
        <v>0</v>
      </c>
      <c r="E60" s="61">
        <f>(SUMIFS('MAIN DATA, Orders'!$M:$M,'MAIN DATA, Orders'!$C:$C,"Germany",'MAIN DATA, Orders'!$N:$N,"Einzelplan 60",'MAIN DATA, Orders'!$G:$G,"Tank",'MAIN DATA, Orders'!$Q:$Q,$A60)/1000000000)</f>
        <v>0</v>
      </c>
    </row>
    <row r="61" spans="1:5">
      <c r="A61" s="72">
        <v>55</v>
      </c>
      <c r="B61" s="155">
        <v>45474</v>
      </c>
      <c r="C61" s="159">
        <f>(SUMIFS('MAIN DATA, Orders'!$M:$M,'MAIN DATA, Orders'!$C:$C,"Germany",'MAIN DATA, Orders'!$N:$N,"Einzelplan 14",'MAIN DATA, Orders'!$G:$G,"Tank",'MAIN DATA, Orders'!$Q:$Q,$A61)/1000000000)</f>
        <v>0</v>
      </c>
      <c r="D61" s="159">
        <f>(SUMIFS('MAIN DATA, Orders'!$M:$M,'MAIN DATA, Orders'!$C:$C,"Germany",'MAIN DATA, Orders'!$N:$N,"Sondervermögen",'MAIN DATA, Orders'!$G:$G,"Tank",'MAIN DATA, Orders'!$Q:$Q,$A61)/1000000000)</f>
        <v>2.9</v>
      </c>
      <c r="E61" s="159">
        <f>(SUMIFS('MAIN DATA, Orders'!$M:$M,'MAIN DATA, Orders'!$C:$C,"Germany",'MAIN DATA, Orders'!$N:$N,"Einzelplan 60",'MAIN DATA, Orders'!$G:$G,"Tank",'MAIN DATA, Orders'!$Q:$Q,$A61)/1000000000)</f>
        <v>0</v>
      </c>
    </row>
    <row r="62" spans="1:5">
      <c r="A62" s="199"/>
      <c r="B62" s="199"/>
      <c r="C62" s="199"/>
      <c r="D62" s="199"/>
      <c r="E62" s="199"/>
    </row>
    <row r="63" spans="1:5">
      <c r="A63" s="199"/>
      <c r="B63" s="69" t="s">
        <v>1431</v>
      </c>
      <c r="C63" s="69">
        <f>SUM(C7:C61)</f>
        <v>0</v>
      </c>
      <c r="D63" s="69">
        <f>SUM(D7:D61)</f>
        <v>3.0920000000000001</v>
      </c>
      <c r="E63" s="69">
        <f>SUM(E7:E61)</f>
        <v>0.52559999999999996</v>
      </c>
    </row>
  </sheetData>
  <mergeCells count="1">
    <mergeCell ref="B4:F4"/>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CDFC36-CA30-4DAE-A2CA-5DFFAE62B516}">
  <sheetPr>
    <tabColor theme="9" tint="0.59999389629810485"/>
  </sheetPr>
  <dimension ref="A2:G63"/>
  <sheetViews>
    <sheetView workbookViewId="0"/>
  </sheetViews>
  <sheetFormatPr defaultColWidth="8.69921875" defaultRowHeight="15.6"/>
  <cols>
    <col min="1" max="1" width="8.69921875" style="1"/>
    <col min="2" max="2" width="13.19921875" style="1" customWidth="1"/>
    <col min="3" max="3" width="20.69921875" style="1" bestFit="1" customWidth="1"/>
    <col min="4" max="4" width="23.69921875" style="1" bestFit="1" customWidth="1"/>
    <col min="5" max="5" width="20.69921875" style="1" bestFit="1" customWidth="1"/>
    <col min="6" max="16384" width="8.69921875" style="1"/>
  </cols>
  <sheetData>
    <row r="2" spans="1:7" ht="25.2">
      <c r="B2" s="67" t="s">
        <v>1666</v>
      </c>
    </row>
    <row r="4" spans="1:7" ht="130.19999999999999" customHeight="1">
      <c r="B4" s="207" t="s">
        <v>1667</v>
      </c>
      <c r="C4" s="207"/>
      <c r="D4" s="207"/>
      <c r="E4" s="207"/>
      <c r="F4" s="207"/>
      <c r="G4" s="207"/>
    </row>
    <row r="6" spans="1:7" ht="21" customHeight="1">
      <c r="B6" s="161" t="s">
        <v>1404</v>
      </c>
      <c r="C6" s="162" t="s">
        <v>165</v>
      </c>
      <c r="D6" s="162" t="s">
        <v>665</v>
      </c>
      <c r="E6" s="162" t="s">
        <v>784</v>
      </c>
    </row>
    <row r="7" spans="1:7">
      <c r="A7" s="72">
        <v>1</v>
      </c>
      <c r="B7" s="68">
        <v>43831</v>
      </c>
      <c r="C7" s="17">
        <f>(SUMIFS('MAIN DATA, Orders'!$I:$I,'MAIN DATA, Orders'!$C:$C,"Germany",'MAIN DATA, Orders'!$N:$N,"Einzelplan 14",'MAIN DATA, Orders'!$F:$F,"Main Battle Tank (MBT)",'MAIN DATA, Orders'!$Q:$Q,$A7))</f>
        <v>0</v>
      </c>
      <c r="D7" s="17">
        <f>(SUMIFS('MAIN DATA, Orders'!$I:$I,'MAIN DATA, Orders'!$C:$C,"Germany",'MAIN DATA, Orders'!$N:$N,"Sondervermögen",'MAIN DATA, Orders'!$F:$F,"Main Battle Tank (MBT)",'MAIN DATA, Orders'!$Q:$Q,$A7))</f>
        <v>0</v>
      </c>
      <c r="E7" s="17">
        <f>(SUMIFS('MAIN DATA, Orders'!$I:$I,'MAIN DATA, Orders'!$C:$C,"Germany",'MAIN DATA, Orders'!$N:$N,"Einzelplan 60",'MAIN DATA, Orders'!$F:$F,"Main Battle Tank (MBT)",'MAIN DATA, Orders'!$Q:$Q,$A7))</f>
        <v>0</v>
      </c>
    </row>
    <row r="8" spans="1:7">
      <c r="A8" s="72">
        <v>2</v>
      </c>
      <c r="B8" s="68">
        <v>43862</v>
      </c>
      <c r="C8" s="17">
        <f>(SUMIFS('MAIN DATA, Orders'!$I:$I,'MAIN DATA, Orders'!$C:$C,"Germany",'MAIN DATA, Orders'!$N:$N,"Einzelplan 14",'MAIN DATA, Orders'!$F:$F,"Main Battle Tank (MBT)",'MAIN DATA, Orders'!$Q:$Q,$A8))</f>
        <v>0</v>
      </c>
      <c r="D8" s="17">
        <f>(SUMIFS('MAIN DATA, Orders'!$I:$I,'MAIN DATA, Orders'!$C:$C,"Germany",'MAIN DATA, Orders'!$N:$N,"Sondervermögen",'MAIN DATA, Orders'!$F:$F,"Main Battle Tank (MBT)",'MAIN DATA, Orders'!$Q:$Q,$A8))</f>
        <v>0</v>
      </c>
      <c r="E8" s="17">
        <f>(SUMIFS('MAIN DATA, Orders'!$I:$I,'MAIN DATA, Orders'!$C:$C,"Germany",'MAIN DATA, Orders'!$N:$N,"Einzelplan 60",'MAIN DATA, Orders'!$F:$F,"Main Battle Tank (MBT)",'MAIN DATA, Orders'!$Q:$Q,$A8))</f>
        <v>0</v>
      </c>
    </row>
    <row r="9" spans="1:7">
      <c r="A9" s="72">
        <v>3</v>
      </c>
      <c r="B9" s="68">
        <v>43891</v>
      </c>
      <c r="C9" s="17">
        <f>(SUMIFS('MAIN DATA, Orders'!$I:$I,'MAIN DATA, Orders'!$C:$C,"Germany",'MAIN DATA, Orders'!$N:$N,"Einzelplan 14",'MAIN DATA, Orders'!$F:$F,"Main Battle Tank (MBT)",'MAIN DATA, Orders'!$Q:$Q,$A9))</f>
        <v>0</v>
      </c>
      <c r="D9" s="17">
        <f>(SUMIFS('MAIN DATA, Orders'!$I:$I,'MAIN DATA, Orders'!$C:$C,"Germany",'MAIN DATA, Orders'!$N:$N,"Sondervermögen",'MAIN DATA, Orders'!$F:$F,"Main Battle Tank (MBT)",'MAIN DATA, Orders'!$Q:$Q,$A9))</f>
        <v>0</v>
      </c>
      <c r="E9" s="17">
        <f>(SUMIFS('MAIN DATA, Orders'!$I:$I,'MAIN DATA, Orders'!$C:$C,"Germany",'MAIN DATA, Orders'!$N:$N,"Einzelplan 60",'MAIN DATA, Orders'!$F:$F,"Main Battle Tank (MBT)",'MAIN DATA, Orders'!$Q:$Q,$A9))</f>
        <v>0</v>
      </c>
    </row>
    <row r="10" spans="1:7">
      <c r="A10" s="72">
        <v>4</v>
      </c>
      <c r="B10" s="68">
        <v>43922</v>
      </c>
      <c r="C10" s="17">
        <f>(SUMIFS('MAIN DATA, Orders'!$I:$I,'MAIN DATA, Orders'!$C:$C,"Germany",'MAIN DATA, Orders'!$N:$N,"Einzelplan 14",'MAIN DATA, Orders'!$F:$F,"Main Battle Tank (MBT)",'MAIN DATA, Orders'!$Q:$Q,$A10))</f>
        <v>0</v>
      </c>
      <c r="D10" s="17">
        <f>(SUMIFS('MAIN DATA, Orders'!$I:$I,'MAIN DATA, Orders'!$C:$C,"Germany",'MAIN DATA, Orders'!$N:$N,"Sondervermögen",'MAIN DATA, Orders'!$F:$F,"Main Battle Tank (MBT)",'MAIN DATA, Orders'!$Q:$Q,$A10))</f>
        <v>0</v>
      </c>
      <c r="E10" s="17">
        <f>(SUMIFS('MAIN DATA, Orders'!$I:$I,'MAIN DATA, Orders'!$C:$C,"Germany",'MAIN DATA, Orders'!$N:$N,"Einzelplan 60",'MAIN DATA, Orders'!$F:$F,"Main Battle Tank (MBT)",'MAIN DATA, Orders'!$Q:$Q,$A10))</f>
        <v>0</v>
      </c>
    </row>
    <row r="11" spans="1:7">
      <c r="A11" s="72">
        <v>5</v>
      </c>
      <c r="B11" s="68">
        <v>43952</v>
      </c>
      <c r="C11" s="17">
        <f>(SUMIFS('MAIN DATA, Orders'!$I:$I,'MAIN DATA, Orders'!$C:$C,"Germany",'MAIN DATA, Orders'!$N:$N,"Einzelplan 14",'MAIN DATA, Orders'!$F:$F,"Main Battle Tank (MBT)",'MAIN DATA, Orders'!$Q:$Q,$A11))</f>
        <v>0</v>
      </c>
      <c r="D11" s="17">
        <f>(SUMIFS('MAIN DATA, Orders'!$I:$I,'MAIN DATA, Orders'!$C:$C,"Germany",'MAIN DATA, Orders'!$N:$N,"Sondervermögen",'MAIN DATA, Orders'!$F:$F,"Main Battle Tank (MBT)",'MAIN DATA, Orders'!$Q:$Q,$A11))</f>
        <v>0</v>
      </c>
      <c r="E11" s="17">
        <f>(SUMIFS('MAIN DATA, Orders'!$I:$I,'MAIN DATA, Orders'!$C:$C,"Germany",'MAIN DATA, Orders'!$N:$N,"Einzelplan 60",'MAIN DATA, Orders'!$F:$F,"Main Battle Tank (MBT)",'MAIN DATA, Orders'!$Q:$Q,$A11))</f>
        <v>0</v>
      </c>
    </row>
    <row r="12" spans="1:7">
      <c r="A12" s="72">
        <v>6</v>
      </c>
      <c r="B12" s="68">
        <v>43983</v>
      </c>
      <c r="C12" s="17">
        <f>(SUMIFS('MAIN DATA, Orders'!$I:$I,'MAIN DATA, Orders'!$C:$C,"Germany",'MAIN DATA, Orders'!$N:$N,"Einzelplan 14",'MAIN DATA, Orders'!$F:$F,"Main Battle Tank (MBT)",'MAIN DATA, Orders'!$Q:$Q,$A12))</f>
        <v>0</v>
      </c>
      <c r="D12" s="17">
        <f>(SUMIFS('MAIN DATA, Orders'!$I:$I,'MAIN DATA, Orders'!$C:$C,"Germany",'MAIN DATA, Orders'!$N:$N,"Sondervermögen",'MAIN DATA, Orders'!$F:$F,"Main Battle Tank (MBT)",'MAIN DATA, Orders'!$Q:$Q,$A12))</f>
        <v>0</v>
      </c>
      <c r="E12" s="17">
        <f>(SUMIFS('MAIN DATA, Orders'!$I:$I,'MAIN DATA, Orders'!$C:$C,"Germany",'MAIN DATA, Orders'!$N:$N,"Einzelplan 60",'MAIN DATA, Orders'!$F:$F,"Main Battle Tank (MBT)",'MAIN DATA, Orders'!$Q:$Q,$A12))</f>
        <v>0</v>
      </c>
    </row>
    <row r="13" spans="1:7">
      <c r="A13" s="72">
        <v>7</v>
      </c>
      <c r="B13" s="68">
        <v>44013</v>
      </c>
      <c r="C13" s="17">
        <f>(SUMIFS('MAIN DATA, Orders'!$I:$I,'MAIN DATA, Orders'!$C:$C,"Germany",'MAIN DATA, Orders'!$N:$N,"Einzelplan 14",'MAIN DATA, Orders'!$F:$F,"Main Battle Tank (MBT)",'MAIN DATA, Orders'!$Q:$Q,$A13))</f>
        <v>0</v>
      </c>
      <c r="D13" s="17">
        <f>(SUMIFS('MAIN DATA, Orders'!$I:$I,'MAIN DATA, Orders'!$C:$C,"Germany",'MAIN DATA, Orders'!$N:$N,"Sondervermögen",'MAIN DATA, Orders'!$F:$F,"Main Battle Tank (MBT)",'MAIN DATA, Orders'!$Q:$Q,$A13))</f>
        <v>0</v>
      </c>
      <c r="E13" s="17">
        <f>(SUMIFS('MAIN DATA, Orders'!$I:$I,'MAIN DATA, Orders'!$C:$C,"Germany",'MAIN DATA, Orders'!$N:$N,"Einzelplan 60",'MAIN DATA, Orders'!$F:$F,"Main Battle Tank (MBT)",'MAIN DATA, Orders'!$Q:$Q,$A13))</f>
        <v>0</v>
      </c>
    </row>
    <row r="14" spans="1:7">
      <c r="A14" s="72">
        <v>8</v>
      </c>
      <c r="B14" s="68">
        <v>44044</v>
      </c>
      <c r="C14" s="17">
        <f>(SUMIFS('MAIN DATA, Orders'!$I:$I,'MAIN DATA, Orders'!$C:$C,"Germany",'MAIN DATA, Orders'!$N:$N,"Einzelplan 14",'MAIN DATA, Orders'!$F:$F,"Main Battle Tank (MBT)",'MAIN DATA, Orders'!$Q:$Q,$A14))</f>
        <v>0</v>
      </c>
      <c r="D14" s="17">
        <f>(SUMIFS('MAIN DATA, Orders'!$I:$I,'MAIN DATA, Orders'!$C:$C,"Germany",'MAIN DATA, Orders'!$N:$N,"Sondervermögen",'MAIN DATA, Orders'!$F:$F,"Main Battle Tank (MBT)",'MAIN DATA, Orders'!$Q:$Q,$A14))</f>
        <v>0</v>
      </c>
      <c r="E14" s="17">
        <f>(SUMIFS('MAIN DATA, Orders'!$I:$I,'MAIN DATA, Orders'!$C:$C,"Germany",'MAIN DATA, Orders'!$N:$N,"Einzelplan 60",'MAIN DATA, Orders'!$F:$F,"Main Battle Tank (MBT)",'MAIN DATA, Orders'!$Q:$Q,$A14))</f>
        <v>0</v>
      </c>
    </row>
    <row r="15" spans="1:7">
      <c r="A15" s="72">
        <v>9</v>
      </c>
      <c r="B15" s="68">
        <v>44075</v>
      </c>
      <c r="C15" s="17">
        <f>(SUMIFS('MAIN DATA, Orders'!$I:$I,'MAIN DATA, Orders'!$C:$C,"Germany",'MAIN DATA, Orders'!$N:$N,"Einzelplan 14",'MAIN DATA, Orders'!$F:$F,"Main Battle Tank (MBT)",'MAIN DATA, Orders'!$Q:$Q,$A15))</f>
        <v>0</v>
      </c>
      <c r="D15" s="17">
        <f>(SUMIFS('MAIN DATA, Orders'!$I:$I,'MAIN DATA, Orders'!$C:$C,"Germany",'MAIN DATA, Orders'!$N:$N,"Sondervermögen",'MAIN DATA, Orders'!$F:$F,"Main Battle Tank (MBT)",'MAIN DATA, Orders'!$Q:$Q,$A15))</f>
        <v>0</v>
      </c>
      <c r="E15" s="17">
        <f>(SUMIFS('MAIN DATA, Orders'!$I:$I,'MAIN DATA, Orders'!$C:$C,"Germany",'MAIN DATA, Orders'!$N:$N,"Einzelplan 60",'MAIN DATA, Orders'!$F:$F,"Main Battle Tank (MBT)",'MAIN DATA, Orders'!$Q:$Q,$A15))</f>
        <v>0</v>
      </c>
    </row>
    <row r="16" spans="1:7">
      <c r="A16" s="72">
        <v>10</v>
      </c>
      <c r="B16" s="68">
        <v>44105</v>
      </c>
      <c r="C16" s="17">
        <f>(SUMIFS('MAIN DATA, Orders'!$I:$I,'MAIN DATA, Orders'!$C:$C,"Germany",'MAIN DATA, Orders'!$N:$N,"Einzelplan 14",'MAIN DATA, Orders'!$F:$F,"Main Battle Tank (MBT)",'MAIN DATA, Orders'!$Q:$Q,$A16))</f>
        <v>0</v>
      </c>
      <c r="D16" s="17">
        <f>(SUMIFS('MAIN DATA, Orders'!$I:$I,'MAIN DATA, Orders'!$C:$C,"Germany",'MAIN DATA, Orders'!$N:$N,"Sondervermögen",'MAIN DATA, Orders'!$F:$F,"Main Battle Tank (MBT)",'MAIN DATA, Orders'!$Q:$Q,$A16))</f>
        <v>0</v>
      </c>
      <c r="E16" s="17">
        <f>(SUMIFS('MAIN DATA, Orders'!$I:$I,'MAIN DATA, Orders'!$C:$C,"Germany",'MAIN DATA, Orders'!$N:$N,"Einzelplan 60",'MAIN DATA, Orders'!$F:$F,"Main Battle Tank (MBT)",'MAIN DATA, Orders'!$Q:$Q,$A16))</f>
        <v>0</v>
      </c>
    </row>
    <row r="17" spans="1:5">
      <c r="A17" s="72">
        <v>11</v>
      </c>
      <c r="B17" s="68">
        <v>44136</v>
      </c>
      <c r="C17" s="17">
        <f>(SUMIFS('MAIN DATA, Orders'!$I:$I,'MAIN DATA, Orders'!$C:$C,"Germany",'MAIN DATA, Orders'!$N:$N,"Einzelplan 14",'MAIN DATA, Orders'!$F:$F,"Main Battle Tank (MBT)",'MAIN DATA, Orders'!$Q:$Q,$A17))</f>
        <v>0</v>
      </c>
      <c r="D17" s="17">
        <f>(SUMIFS('MAIN DATA, Orders'!$I:$I,'MAIN DATA, Orders'!$C:$C,"Germany",'MAIN DATA, Orders'!$N:$N,"Sondervermögen",'MAIN DATA, Orders'!$F:$F,"Main Battle Tank (MBT)",'MAIN DATA, Orders'!$Q:$Q,$A17))</f>
        <v>0</v>
      </c>
      <c r="E17" s="17">
        <f>(SUMIFS('MAIN DATA, Orders'!$I:$I,'MAIN DATA, Orders'!$C:$C,"Germany",'MAIN DATA, Orders'!$N:$N,"Einzelplan 60",'MAIN DATA, Orders'!$F:$F,"Main Battle Tank (MBT)",'MAIN DATA, Orders'!$Q:$Q,$A17))</f>
        <v>0</v>
      </c>
    </row>
    <row r="18" spans="1:5">
      <c r="A18" s="72">
        <v>12</v>
      </c>
      <c r="B18" s="68">
        <v>44166</v>
      </c>
      <c r="C18" s="17">
        <f>(SUMIFS('MAIN DATA, Orders'!$I:$I,'MAIN DATA, Orders'!$C:$C,"Germany",'MAIN DATA, Orders'!$N:$N,"Einzelplan 14",'MAIN DATA, Orders'!$F:$F,"Main Battle Tank (MBT)",'MAIN DATA, Orders'!$Q:$Q,$A18))</f>
        <v>0</v>
      </c>
      <c r="D18" s="17">
        <f>(SUMIFS('MAIN DATA, Orders'!$I:$I,'MAIN DATA, Orders'!$C:$C,"Germany",'MAIN DATA, Orders'!$N:$N,"Sondervermögen",'MAIN DATA, Orders'!$F:$F,"Main Battle Tank (MBT)",'MAIN DATA, Orders'!$Q:$Q,$A18))</f>
        <v>0</v>
      </c>
      <c r="E18" s="17">
        <f>(SUMIFS('MAIN DATA, Orders'!$I:$I,'MAIN DATA, Orders'!$C:$C,"Germany",'MAIN DATA, Orders'!$N:$N,"Einzelplan 60",'MAIN DATA, Orders'!$F:$F,"Main Battle Tank (MBT)",'MAIN DATA, Orders'!$Q:$Q,$A18))</f>
        <v>0</v>
      </c>
    </row>
    <row r="19" spans="1:5">
      <c r="A19" s="72">
        <v>13</v>
      </c>
      <c r="B19" s="68">
        <v>44197</v>
      </c>
      <c r="C19" s="17">
        <f>(SUMIFS('MAIN DATA, Orders'!$I:$I,'MAIN DATA, Orders'!$C:$C,"Germany",'MAIN DATA, Orders'!$N:$N,"Einzelplan 14",'MAIN DATA, Orders'!$F:$F,"Main Battle Tank (MBT)",'MAIN DATA, Orders'!$Q:$Q,$A19))</f>
        <v>0</v>
      </c>
      <c r="D19" s="17">
        <f>(SUMIFS('MAIN DATA, Orders'!$I:$I,'MAIN DATA, Orders'!$C:$C,"Germany",'MAIN DATA, Orders'!$N:$N,"Sondervermögen",'MAIN DATA, Orders'!$F:$F,"Main Battle Tank (MBT)",'MAIN DATA, Orders'!$Q:$Q,$A19))</f>
        <v>0</v>
      </c>
      <c r="E19" s="17">
        <f>(SUMIFS('MAIN DATA, Orders'!$I:$I,'MAIN DATA, Orders'!$C:$C,"Germany",'MAIN DATA, Orders'!$N:$N,"Einzelplan 60",'MAIN DATA, Orders'!$F:$F,"Main Battle Tank (MBT)",'MAIN DATA, Orders'!$Q:$Q,$A19))</f>
        <v>0</v>
      </c>
    </row>
    <row r="20" spans="1:5">
      <c r="A20" s="72">
        <v>14</v>
      </c>
      <c r="B20" s="68">
        <v>44228</v>
      </c>
      <c r="C20" s="17">
        <f>(SUMIFS('MAIN DATA, Orders'!$I:$I,'MAIN DATA, Orders'!$C:$C,"Germany",'MAIN DATA, Orders'!$N:$N,"Einzelplan 14",'MAIN DATA, Orders'!$F:$F,"Main Battle Tank (MBT)",'MAIN DATA, Orders'!$Q:$Q,$A20))</f>
        <v>0</v>
      </c>
      <c r="D20" s="17">
        <f>(SUMIFS('MAIN DATA, Orders'!$I:$I,'MAIN DATA, Orders'!$C:$C,"Germany",'MAIN DATA, Orders'!$N:$N,"Sondervermögen",'MAIN DATA, Orders'!$F:$F,"Main Battle Tank (MBT)",'MAIN DATA, Orders'!$Q:$Q,$A20))</f>
        <v>0</v>
      </c>
      <c r="E20" s="17">
        <f>(SUMIFS('MAIN DATA, Orders'!$I:$I,'MAIN DATA, Orders'!$C:$C,"Germany",'MAIN DATA, Orders'!$N:$N,"Einzelplan 60",'MAIN DATA, Orders'!$F:$F,"Main Battle Tank (MBT)",'MAIN DATA, Orders'!$Q:$Q,$A20))</f>
        <v>0</v>
      </c>
    </row>
    <row r="21" spans="1:5">
      <c r="A21" s="72">
        <v>15</v>
      </c>
      <c r="B21" s="68">
        <v>44256</v>
      </c>
      <c r="C21" s="17">
        <f>(SUMIFS('MAIN DATA, Orders'!$I:$I,'MAIN DATA, Orders'!$C:$C,"Germany",'MAIN DATA, Orders'!$N:$N,"Einzelplan 14",'MAIN DATA, Orders'!$F:$F,"Main Battle Tank (MBT)",'MAIN DATA, Orders'!$Q:$Q,$A21))</f>
        <v>0</v>
      </c>
      <c r="D21" s="17">
        <f>(SUMIFS('MAIN DATA, Orders'!$I:$I,'MAIN DATA, Orders'!$C:$C,"Germany",'MAIN DATA, Orders'!$N:$N,"Sondervermögen",'MAIN DATA, Orders'!$F:$F,"Main Battle Tank (MBT)",'MAIN DATA, Orders'!$Q:$Q,$A21))</f>
        <v>0</v>
      </c>
      <c r="E21" s="17">
        <f>(SUMIFS('MAIN DATA, Orders'!$I:$I,'MAIN DATA, Orders'!$C:$C,"Germany",'MAIN DATA, Orders'!$N:$N,"Einzelplan 60",'MAIN DATA, Orders'!$F:$F,"Main Battle Tank (MBT)",'MAIN DATA, Orders'!$Q:$Q,$A21))</f>
        <v>0</v>
      </c>
    </row>
    <row r="22" spans="1:5">
      <c r="A22" s="72">
        <v>16</v>
      </c>
      <c r="B22" s="68">
        <v>44287</v>
      </c>
      <c r="C22" s="17">
        <f>(SUMIFS('MAIN DATA, Orders'!$I:$I,'MAIN DATA, Orders'!$C:$C,"Germany",'MAIN DATA, Orders'!$N:$N,"Einzelplan 14",'MAIN DATA, Orders'!$F:$F,"Main Battle Tank (MBT)",'MAIN DATA, Orders'!$Q:$Q,$A22))</f>
        <v>0</v>
      </c>
      <c r="D22" s="17">
        <f>(SUMIFS('MAIN DATA, Orders'!$I:$I,'MAIN DATA, Orders'!$C:$C,"Germany",'MAIN DATA, Orders'!$N:$N,"Sondervermögen",'MAIN DATA, Orders'!$F:$F,"Main Battle Tank (MBT)",'MAIN DATA, Orders'!$Q:$Q,$A22))</f>
        <v>0</v>
      </c>
      <c r="E22" s="17">
        <f>(SUMIFS('MAIN DATA, Orders'!$I:$I,'MAIN DATA, Orders'!$C:$C,"Germany",'MAIN DATA, Orders'!$N:$N,"Einzelplan 60",'MAIN DATA, Orders'!$F:$F,"Main Battle Tank (MBT)",'MAIN DATA, Orders'!$Q:$Q,$A22))</f>
        <v>0</v>
      </c>
    </row>
    <row r="23" spans="1:5">
      <c r="A23" s="72">
        <v>17</v>
      </c>
      <c r="B23" s="68">
        <v>44317</v>
      </c>
      <c r="C23" s="17">
        <f>(SUMIFS('MAIN DATA, Orders'!$I:$I,'MAIN DATA, Orders'!$C:$C,"Germany",'MAIN DATA, Orders'!$N:$N,"Einzelplan 14",'MAIN DATA, Orders'!$F:$F,"Main Battle Tank (MBT)",'MAIN DATA, Orders'!$Q:$Q,$A23))</f>
        <v>0</v>
      </c>
      <c r="D23" s="17">
        <f>(SUMIFS('MAIN DATA, Orders'!$I:$I,'MAIN DATA, Orders'!$C:$C,"Germany",'MAIN DATA, Orders'!$N:$N,"Sondervermögen",'MAIN DATA, Orders'!$F:$F,"Main Battle Tank (MBT)",'MAIN DATA, Orders'!$Q:$Q,$A23))</f>
        <v>0</v>
      </c>
      <c r="E23" s="17">
        <f>(SUMIFS('MAIN DATA, Orders'!$I:$I,'MAIN DATA, Orders'!$C:$C,"Germany",'MAIN DATA, Orders'!$N:$N,"Einzelplan 60",'MAIN DATA, Orders'!$F:$F,"Main Battle Tank (MBT)",'MAIN DATA, Orders'!$Q:$Q,$A23))</f>
        <v>0</v>
      </c>
    </row>
    <row r="24" spans="1:5">
      <c r="A24" s="72">
        <v>18</v>
      </c>
      <c r="B24" s="68">
        <v>44348</v>
      </c>
      <c r="C24" s="17">
        <f>(SUMIFS('MAIN DATA, Orders'!$I:$I,'MAIN DATA, Orders'!$C:$C,"Germany",'MAIN DATA, Orders'!$N:$N,"Einzelplan 14",'MAIN DATA, Orders'!$F:$F,"Main Battle Tank (MBT)",'MAIN DATA, Orders'!$Q:$Q,$A24))</f>
        <v>0</v>
      </c>
      <c r="D24" s="17">
        <f>(SUMIFS('MAIN DATA, Orders'!$I:$I,'MAIN DATA, Orders'!$C:$C,"Germany",'MAIN DATA, Orders'!$N:$N,"Sondervermögen",'MAIN DATA, Orders'!$F:$F,"Main Battle Tank (MBT)",'MAIN DATA, Orders'!$Q:$Q,$A24))</f>
        <v>0</v>
      </c>
      <c r="E24" s="17">
        <f>(SUMIFS('MAIN DATA, Orders'!$I:$I,'MAIN DATA, Orders'!$C:$C,"Germany",'MAIN DATA, Orders'!$N:$N,"Einzelplan 60",'MAIN DATA, Orders'!$F:$F,"Main Battle Tank (MBT)",'MAIN DATA, Orders'!$Q:$Q,$A24))</f>
        <v>0</v>
      </c>
    </row>
    <row r="25" spans="1:5">
      <c r="A25" s="72">
        <v>19</v>
      </c>
      <c r="B25" s="68">
        <v>44378</v>
      </c>
      <c r="C25" s="17">
        <f>(SUMIFS('MAIN DATA, Orders'!$I:$I,'MAIN DATA, Orders'!$C:$C,"Germany",'MAIN DATA, Orders'!$N:$N,"Einzelplan 14",'MAIN DATA, Orders'!$F:$F,"Main Battle Tank (MBT)",'MAIN DATA, Orders'!$Q:$Q,$A25))</f>
        <v>0</v>
      </c>
      <c r="D25" s="17">
        <f>(SUMIFS('MAIN DATA, Orders'!$I:$I,'MAIN DATA, Orders'!$C:$C,"Germany",'MAIN DATA, Orders'!$N:$N,"Sondervermögen",'MAIN DATA, Orders'!$F:$F,"Main Battle Tank (MBT)",'MAIN DATA, Orders'!$Q:$Q,$A25))</f>
        <v>0</v>
      </c>
      <c r="E25" s="17">
        <f>(SUMIFS('MAIN DATA, Orders'!$I:$I,'MAIN DATA, Orders'!$C:$C,"Germany",'MAIN DATA, Orders'!$N:$N,"Einzelplan 60",'MAIN DATA, Orders'!$F:$F,"Main Battle Tank (MBT)",'MAIN DATA, Orders'!$Q:$Q,$A25))</f>
        <v>0</v>
      </c>
    </row>
    <row r="26" spans="1:5">
      <c r="A26" s="72">
        <v>20</v>
      </c>
      <c r="B26" s="68">
        <v>44409</v>
      </c>
      <c r="C26" s="17">
        <f>(SUMIFS('MAIN DATA, Orders'!$I:$I,'MAIN DATA, Orders'!$C:$C,"Germany",'MAIN DATA, Orders'!$N:$N,"Einzelplan 14",'MAIN DATA, Orders'!$F:$F,"Main Battle Tank (MBT)",'MAIN DATA, Orders'!$Q:$Q,$A26))</f>
        <v>0</v>
      </c>
      <c r="D26" s="17">
        <f>(SUMIFS('MAIN DATA, Orders'!$I:$I,'MAIN DATA, Orders'!$C:$C,"Germany",'MAIN DATA, Orders'!$N:$N,"Sondervermögen",'MAIN DATA, Orders'!$F:$F,"Main Battle Tank (MBT)",'MAIN DATA, Orders'!$Q:$Q,$A26))</f>
        <v>0</v>
      </c>
      <c r="E26" s="17">
        <f>(SUMIFS('MAIN DATA, Orders'!$I:$I,'MAIN DATA, Orders'!$C:$C,"Germany",'MAIN DATA, Orders'!$N:$N,"Einzelplan 60",'MAIN DATA, Orders'!$F:$F,"Main Battle Tank (MBT)",'MAIN DATA, Orders'!$Q:$Q,$A26))</f>
        <v>0</v>
      </c>
    </row>
    <row r="27" spans="1:5">
      <c r="A27" s="72">
        <v>21</v>
      </c>
      <c r="B27" s="68">
        <v>44440</v>
      </c>
      <c r="C27" s="17">
        <f>(SUMIFS('MAIN DATA, Orders'!$I:$I,'MAIN DATA, Orders'!$C:$C,"Germany",'MAIN DATA, Orders'!$N:$N,"Einzelplan 14",'MAIN DATA, Orders'!$F:$F,"Main Battle Tank (MBT)",'MAIN DATA, Orders'!$Q:$Q,$A27))</f>
        <v>0</v>
      </c>
      <c r="D27" s="17">
        <f>(SUMIFS('MAIN DATA, Orders'!$I:$I,'MAIN DATA, Orders'!$C:$C,"Germany",'MAIN DATA, Orders'!$N:$N,"Sondervermögen",'MAIN DATA, Orders'!$F:$F,"Main Battle Tank (MBT)",'MAIN DATA, Orders'!$Q:$Q,$A27))</f>
        <v>0</v>
      </c>
      <c r="E27" s="17">
        <f>(SUMIFS('MAIN DATA, Orders'!$I:$I,'MAIN DATA, Orders'!$C:$C,"Germany",'MAIN DATA, Orders'!$N:$N,"Einzelplan 60",'MAIN DATA, Orders'!$F:$F,"Main Battle Tank (MBT)",'MAIN DATA, Orders'!$Q:$Q,$A27))</f>
        <v>0</v>
      </c>
    </row>
    <row r="28" spans="1:5">
      <c r="A28" s="72">
        <v>22</v>
      </c>
      <c r="B28" s="68">
        <v>44470</v>
      </c>
      <c r="C28" s="17">
        <f>(SUMIFS('MAIN DATA, Orders'!$I:$I,'MAIN DATA, Orders'!$C:$C,"Germany",'MAIN DATA, Orders'!$N:$N,"Einzelplan 14",'MAIN DATA, Orders'!$F:$F,"Main Battle Tank (MBT)",'MAIN DATA, Orders'!$Q:$Q,$A28))</f>
        <v>0</v>
      </c>
      <c r="D28" s="17">
        <f>(SUMIFS('MAIN DATA, Orders'!$I:$I,'MAIN DATA, Orders'!$C:$C,"Germany",'MAIN DATA, Orders'!$N:$N,"Sondervermögen",'MAIN DATA, Orders'!$F:$F,"Main Battle Tank (MBT)",'MAIN DATA, Orders'!$Q:$Q,$A28))</f>
        <v>0</v>
      </c>
      <c r="E28" s="17">
        <f>(SUMIFS('MAIN DATA, Orders'!$I:$I,'MAIN DATA, Orders'!$C:$C,"Germany",'MAIN DATA, Orders'!$N:$N,"Einzelplan 60",'MAIN DATA, Orders'!$F:$F,"Main Battle Tank (MBT)",'MAIN DATA, Orders'!$Q:$Q,$A28))</f>
        <v>0</v>
      </c>
    </row>
    <row r="29" spans="1:5">
      <c r="A29" s="72">
        <v>23</v>
      </c>
      <c r="B29" s="68">
        <v>44501</v>
      </c>
      <c r="C29" s="17">
        <f>(SUMIFS('MAIN DATA, Orders'!$I:$I,'MAIN DATA, Orders'!$C:$C,"Germany",'MAIN DATA, Orders'!$N:$N,"Einzelplan 14",'MAIN DATA, Orders'!$F:$F,"Main Battle Tank (MBT)",'MAIN DATA, Orders'!$Q:$Q,$A29))</f>
        <v>0</v>
      </c>
      <c r="D29" s="17">
        <f>(SUMIFS('MAIN DATA, Orders'!$I:$I,'MAIN DATA, Orders'!$C:$C,"Germany",'MAIN DATA, Orders'!$N:$N,"Sondervermögen",'MAIN DATA, Orders'!$F:$F,"Main Battle Tank (MBT)",'MAIN DATA, Orders'!$Q:$Q,$A29))</f>
        <v>0</v>
      </c>
      <c r="E29" s="17">
        <f>(SUMIFS('MAIN DATA, Orders'!$I:$I,'MAIN DATA, Orders'!$C:$C,"Germany",'MAIN DATA, Orders'!$N:$N,"Einzelplan 60",'MAIN DATA, Orders'!$F:$F,"Main Battle Tank (MBT)",'MAIN DATA, Orders'!$Q:$Q,$A29))</f>
        <v>0</v>
      </c>
    </row>
    <row r="30" spans="1:5">
      <c r="A30" s="72">
        <v>24</v>
      </c>
      <c r="B30" s="68">
        <v>44531</v>
      </c>
      <c r="C30" s="17">
        <f>(SUMIFS('MAIN DATA, Orders'!$I:$I,'MAIN DATA, Orders'!$C:$C,"Germany",'MAIN DATA, Orders'!$N:$N,"Einzelplan 14",'MAIN DATA, Orders'!$F:$F,"Main Battle Tank (MBT)",'MAIN DATA, Orders'!$Q:$Q,$A30))</f>
        <v>0</v>
      </c>
      <c r="D30" s="17">
        <f>(SUMIFS('MAIN DATA, Orders'!$I:$I,'MAIN DATA, Orders'!$C:$C,"Germany",'MAIN DATA, Orders'!$N:$N,"Sondervermögen",'MAIN DATA, Orders'!$F:$F,"Main Battle Tank (MBT)",'MAIN DATA, Orders'!$Q:$Q,$A30))</f>
        <v>0</v>
      </c>
      <c r="E30" s="17">
        <f>(SUMIFS('MAIN DATA, Orders'!$I:$I,'MAIN DATA, Orders'!$C:$C,"Germany",'MAIN DATA, Orders'!$N:$N,"Einzelplan 60",'MAIN DATA, Orders'!$F:$F,"Main Battle Tank (MBT)",'MAIN DATA, Orders'!$Q:$Q,$A30))</f>
        <v>0</v>
      </c>
    </row>
    <row r="31" spans="1:5">
      <c r="A31" s="72">
        <v>25</v>
      </c>
      <c r="B31" s="68">
        <v>44562</v>
      </c>
      <c r="C31" s="17">
        <f>(SUMIFS('MAIN DATA, Orders'!$I:$I,'MAIN DATA, Orders'!$C:$C,"Germany",'MAIN DATA, Orders'!$N:$N,"Einzelplan 14",'MAIN DATA, Orders'!$F:$F,"Main Battle Tank (MBT)",'MAIN DATA, Orders'!$Q:$Q,$A31))</f>
        <v>0</v>
      </c>
      <c r="D31" s="17">
        <f>(SUMIFS('MAIN DATA, Orders'!$I:$I,'MAIN DATA, Orders'!$C:$C,"Germany",'MAIN DATA, Orders'!$N:$N,"Sondervermögen",'MAIN DATA, Orders'!$F:$F,"Main Battle Tank (MBT)",'MAIN DATA, Orders'!$Q:$Q,$A31))</f>
        <v>0</v>
      </c>
      <c r="E31" s="17">
        <f>(SUMIFS('MAIN DATA, Orders'!$I:$I,'MAIN DATA, Orders'!$C:$C,"Germany",'MAIN DATA, Orders'!$N:$N,"Einzelplan 60",'MAIN DATA, Orders'!$F:$F,"Main Battle Tank (MBT)",'MAIN DATA, Orders'!$Q:$Q,$A31))</f>
        <v>0</v>
      </c>
    </row>
    <row r="32" spans="1:5">
      <c r="A32" s="72">
        <v>26</v>
      </c>
      <c r="B32" s="68">
        <v>44593</v>
      </c>
      <c r="C32" s="17">
        <f>(SUMIFS('MAIN DATA, Orders'!$I:$I,'MAIN DATA, Orders'!$C:$C,"Germany",'MAIN DATA, Orders'!$N:$N,"Einzelplan 14",'MAIN DATA, Orders'!$F:$F,"Main Battle Tank (MBT)",'MAIN DATA, Orders'!$Q:$Q,$A32))</f>
        <v>0</v>
      </c>
      <c r="D32" s="17">
        <f>(SUMIFS('MAIN DATA, Orders'!$I:$I,'MAIN DATA, Orders'!$C:$C,"Germany",'MAIN DATA, Orders'!$N:$N,"Sondervermögen",'MAIN DATA, Orders'!$F:$F,"Main Battle Tank (MBT)",'MAIN DATA, Orders'!$Q:$Q,$A32))</f>
        <v>0</v>
      </c>
      <c r="E32" s="17">
        <f>(SUMIFS('MAIN DATA, Orders'!$I:$I,'MAIN DATA, Orders'!$C:$C,"Germany",'MAIN DATA, Orders'!$N:$N,"Einzelplan 60",'MAIN DATA, Orders'!$F:$F,"Main Battle Tank (MBT)",'MAIN DATA, Orders'!$Q:$Q,$A32))</f>
        <v>0</v>
      </c>
    </row>
    <row r="33" spans="1:5">
      <c r="A33" s="72">
        <v>27</v>
      </c>
      <c r="B33" s="68">
        <v>44621</v>
      </c>
      <c r="C33" s="17">
        <f>(SUMIFS('MAIN DATA, Orders'!$I:$I,'MAIN DATA, Orders'!$C:$C,"Germany",'MAIN DATA, Orders'!$N:$N,"Einzelplan 14",'MAIN DATA, Orders'!$F:$F,"Main Battle Tank (MBT)",'MAIN DATA, Orders'!$Q:$Q,$A33))</f>
        <v>0</v>
      </c>
      <c r="D33" s="17">
        <f>(SUMIFS('MAIN DATA, Orders'!$I:$I,'MAIN DATA, Orders'!$C:$C,"Germany",'MAIN DATA, Orders'!$N:$N,"Sondervermögen",'MAIN DATA, Orders'!$F:$F,"Main Battle Tank (MBT)",'MAIN DATA, Orders'!$Q:$Q,$A33))</f>
        <v>0</v>
      </c>
      <c r="E33" s="17">
        <f>(SUMIFS('MAIN DATA, Orders'!$I:$I,'MAIN DATA, Orders'!$C:$C,"Germany",'MAIN DATA, Orders'!$N:$N,"Einzelplan 60",'MAIN DATA, Orders'!$F:$F,"Main Battle Tank (MBT)",'MAIN DATA, Orders'!$Q:$Q,$A33))</f>
        <v>0</v>
      </c>
    </row>
    <row r="34" spans="1:5">
      <c r="A34" s="72">
        <v>28</v>
      </c>
      <c r="B34" s="68">
        <v>44652</v>
      </c>
      <c r="C34" s="17">
        <f>(SUMIFS('MAIN DATA, Orders'!$I:$I,'MAIN DATA, Orders'!$C:$C,"Germany",'MAIN DATA, Orders'!$N:$N,"Einzelplan 14",'MAIN DATA, Orders'!$F:$F,"Main Battle Tank (MBT)",'MAIN DATA, Orders'!$Q:$Q,$A34))</f>
        <v>0</v>
      </c>
      <c r="D34" s="17">
        <f>(SUMIFS('MAIN DATA, Orders'!$I:$I,'MAIN DATA, Orders'!$C:$C,"Germany",'MAIN DATA, Orders'!$N:$N,"Sondervermögen",'MAIN DATA, Orders'!$F:$F,"Main Battle Tank (MBT)",'MAIN DATA, Orders'!$Q:$Q,$A34))</f>
        <v>0</v>
      </c>
      <c r="E34" s="17">
        <f>(SUMIFS('MAIN DATA, Orders'!$I:$I,'MAIN DATA, Orders'!$C:$C,"Germany",'MAIN DATA, Orders'!$N:$N,"Einzelplan 60",'MAIN DATA, Orders'!$F:$F,"Main Battle Tank (MBT)",'MAIN DATA, Orders'!$Q:$Q,$A34))</f>
        <v>0</v>
      </c>
    </row>
    <row r="35" spans="1:5">
      <c r="A35" s="72">
        <v>29</v>
      </c>
      <c r="B35" s="68">
        <v>44682</v>
      </c>
      <c r="C35" s="17">
        <f>(SUMIFS('MAIN DATA, Orders'!$I:$I,'MAIN DATA, Orders'!$C:$C,"Germany",'MAIN DATA, Orders'!$N:$N,"Einzelplan 14",'MAIN DATA, Orders'!$F:$F,"Main Battle Tank (MBT)",'MAIN DATA, Orders'!$Q:$Q,$A35))</f>
        <v>0</v>
      </c>
      <c r="D35" s="17">
        <f>(SUMIFS('MAIN DATA, Orders'!$I:$I,'MAIN DATA, Orders'!$C:$C,"Germany",'MAIN DATA, Orders'!$N:$N,"Sondervermögen",'MAIN DATA, Orders'!$F:$F,"Main Battle Tank (MBT)",'MAIN DATA, Orders'!$Q:$Q,$A35))</f>
        <v>0</v>
      </c>
      <c r="E35" s="17">
        <f>(SUMIFS('MAIN DATA, Orders'!$I:$I,'MAIN DATA, Orders'!$C:$C,"Germany",'MAIN DATA, Orders'!$N:$N,"Einzelplan 60",'MAIN DATA, Orders'!$F:$F,"Main Battle Tank (MBT)",'MAIN DATA, Orders'!$Q:$Q,$A35))</f>
        <v>0</v>
      </c>
    </row>
    <row r="36" spans="1:5">
      <c r="A36" s="72">
        <v>30</v>
      </c>
      <c r="B36" s="68">
        <v>44713</v>
      </c>
      <c r="C36" s="17">
        <f>(SUMIFS('MAIN DATA, Orders'!$I:$I,'MAIN DATA, Orders'!$C:$C,"Germany",'MAIN DATA, Orders'!$N:$N,"Einzelplan 14",'MAIN DATA, Orders'!$F:$F,"Main Battle Tank (MBT)",'MAIN DATA, Orders'!$Q:$Q,$A36))</f>
        <v>0</v>
      </c>
      <c r="D36" s="17">
        <f>(SUMIFS('MAIN DATA, Orders'!$I:$I,'MAIN DATA, Orders'!$C:$C,"Germany",'MAIN DATA, Orders'!$N:$N,"Sondervermögen",'MAIN DATA, Orders'!$F:$F,"Main Battle Tank (MBT)",'MAIN DATA, Orders'!$Q:$Q,$A36))</f>
        <v>0</v>
      </c>
      <c r="E36" s="17">
        <f>(SUMIFS('MAIN DATA, Orders'!$I:$I,'MAIN DATA, Orders'!$C:$C,"Germany",'MAIN DATA, Orders'!$N:$N,"Einzelplan 60",'MAIN DATA, Orders'!$F:$F,"Main Battle Tank (MBT)",'MAIN DATA, Orders'!$Q:$Q,$A36))</f>
        <v>0</v>
      </c>
    </row>
    <row r="37" spans="1:5">
      <c r="A37" s="72">
        <v>31</v>
      </c>
      <c r="B37" s="68">
        <v>44743</v>
      </c>
      <c r="C37" s="17">
        <f>(SUMIFS('MAIN DATA, Orders'!$I:$I,'MAIN DATA, Orders'!$C:$C,"Germany",'MAIN DATA, Orders'!$N:$N,"Einzelplan 14",'MAIN DATA, Orders'!$F:$F,"Main Battle Tank (MBT)",'MAIN DATA, Orders'!$Q:$Q,$A37))</f>
        <v>0</v>
      </c>
      <c r="D37" s="17">
        <f>(SUMIFS('MAIN DATA, Orders'!$I:$I,'MAIN DATA, Orders'!$C:$C,"Germany",'MAIN DATA, Orders'!$N:$N,"Sondervermögen",'MAIN DATA, Orders'!$F:$F,"Main Battle Tank (MBT)",'MAIN DATA, Orders'!$Q:$Q,$A37))</f>
        <v>0</v>
      </c>
      <c r="E37" s="17">
        <f>(SUMIFS('MAIN DATA, Orders'!$I:$I,'MAIN DATA, Orders'!$C:$C,"Germany",'MAIN DATA, Orders'!$N:$N,"Einzelplan 60",'MAIN DATA, Orders'!$F:$F,"Main Battle Tank (MBT)",'MAIN DATA, Orders'!$Q:$Q,$A37))</f>
        <v>0</v>
      </c>
    </row>
    <row r="38" spans="1:5">
      <c r="A38" s="72">
        <v>32</v>
      </c>
      <c r="B38" s="68">
        <v>44774</v>
      </c>
      <c r="C38" s="17">
        <f>(SUMIFS('MAIN DATA, Orders'!$I:$I,'MAIN DATA, Orders'!$C:$C,"Germany",'MAIN DATA, Orders'!$N:$N,"Einzelplan 14",'MAIN DATA, Orders'!$F:$F,"Main Battle Tank (MBT)",'MAIN DATA, Orders'!$Q:$Q,$A38))</f>
        <v>0</v>
      </c>
      <c r="D38" s="17">
        <f>(SUMIFS('MAIN DATA, Orders'!$I:$I,'MAIN DATA, Orders'!$C:$C,"Germany",'MAIN DATA, Orders'!$N:$N,"Sondervermögen",'MAIN DATA, Orders'!$F:$F,"Main Battle Tank (MBT)",'MAIN DATA, Orders'!$Q:$Q,$A38))</f>
        <v>0</v>
      </c>
      <c r="E38" s="17">
        <f>(SUMIFS('MAIN DATA, Orders'!$I:$I,'MAIN DATA, Orders'!$C:$C,"Germany",'MAIN DATA, Orders'!$N:$N,"Einzelplan 60",'MAIN DATA, Orders'!$F:$F,"Main Battle Tank (MBT)",'MAIN DATA, Orders'!$Q:$Q,$A38))</f>
        <v>0</v>
      </c>
    </row>
    <row r="39" spans="1:5">
      <c r="A39" s="72">
        <v>33</v>
      </c>
      <c r="B39" s="68">
        <v>44805</v>
      </c>
      <c r="C39" s="17">
        <f>(SUMIFS('MAIN DATA, Orders'!$I:$I,'MAIN DATA, Orders'!$C:$C,"Germany",'MAIN DATA, Orders'!$N:$N,"Einzelplan 14",'MAIN DATA, Orders'!$F:$F,"Main Battle Tank (MBT)",'MAIN DATA, Orders'!$Q:$Q,$A39))</f>
        <v>0</v>
      </c>
      <c r="D39" s="17">
        <f>(SUMIFS('MAIN DATA, Orders'!$I:$I,'MAIN DATA, Orders'!$C:$C,"Germany",'MAIN DATA, Orders'!$N:$N,"Sondervermögen",'MAIN DATA, Orders'!$F:$F,"Main Battle Tank (MBT)",'MAIN DATA, Orders'!$Q:$Q,$A39))</f>
        <v>0</v>
      </c>
      <c r="E39" s="17">
        <f>(SUMIFS('MAIN DATA, Orders'!$I:$I,'MAIN DATA, Orders'!$C:$C,"Germany",'MAIN DATA, Orders'!$N:$N,"Einzelplan 60",'MAIN DATA, Orders'!$F:$F,"Main Battle Tank (MBT)",'MAIN DATA, Orders'!$Q:$Q,$A39))</f>
        <v>0</v>
      </c>
    </row>
    <row r="40" spans="1:5">
      <c r="A40" s="72">
        <v>34</v>
      </c>
      <c r="B40" s="68">
        <v>44835</v>
      </c>
      <c r="C40" s="17">
        <f>(SUMIFS('MAIN DATA, Orders'!$I:$I,'MAIN DATA, Orders'!$C:$C,"Germany",'MAIN DATA, Orders'!$N:$N,"Einzelplan 14",'MAIN DATA, Orders'!$F:$F,"Main Battle Tank (MBT)",'MAIN DATA, Orders'!$Q:$Q,$A40))</f>
        <v>0</v>
      </c>
      <c r="D40" s="17">
        <f>(SUMIFS('MAIN DATA, Orders'!$I:$I,'MAIN DATA, Orders'!$C:$C,"Germany",'MAIN DATA, Orders'!$N:$N,"Sondervermögen",'MAIN DATA, Orders'!$F:$F,"Main Battle Tank (MBT)",'MAIN DATA, Orders'!$Q:$Q,$A40))</f>
        <v>0</v>
      </c>
      <c r="E40" s="17">
        <f>(SUMIFS('MAIN DATA, Orders'!$I:$I,'MAIN DATA, Orders'!$C:$C,"Germany",'MAIN DATA, Orders'!$N:$N,"Einzelplan 60",'MAIN DATA, Orders'!$F:$F,"Main Battle Tank (MBT)",'MAIN DATA, Orders'!$Q:$Q,$A40))</f>
        <v>0</v>
      </c>
    </row>
    <row r="41" spans="1:5">
      <c r="A41" s="72">
        <v>35</v>
      </c>
      <c r="B41" s="68">
        <v>44866</v>
      </c>
      <c r="C41" s="17">
        <f>(SUMIFS('MAIN DATA, Orders'!$I:$I,'MAIN DATA, Orders'!$C:$C,"Germany",'MAIN DATA, Orders'!$N:$N,"Einzelplan 14",'MAIN DATA, Orders'!$F:$F,"Main Battle Tank (MBT)",'MAIN DATA, Orders'!$Q:$Q,$A41))</f>
        <v>0</v>
      </c>
      <c r="D41" s="17">
        <f>(SUMIFS('MAIN DATA, Orders'!$I:$I,'MAIN DATA, Orders'!$C:$C,"Germany",'MAIN DATA, Orders'!$N:$N,"Sondervermögen",'MAIN DATA, Orders'!$F:$F,"Main Battle Tank (MBT)",'MAIN DATA, Orders'!$Q:$Q,$A41))</f>
        <v>0</v>
      </c>
      <c r="E41" s="17">
        <f>(SUMIFS('MAIN DATA, Orders'!$I:$I,'MAIN DATA, Orders'!$C:$C,"Germany",'MAIN DATA, Orders'!$N:$N,"Einzelplan 60",'MAIN DATA, Orders'!$F:$F,"Main Battle Tank (MBT)",'MAIN DATA, Orders'!$Q:$Q,$A41))</f>
        <v>0</v>
      </c>
    </row>
    <row r="42" spans="1:5">
      <c r="A42" s="72">
        <v>36</v>
      </c>
      <c r="B42" s="68">
        <v>44896</v>
      </c>
      <c r="C42" s="17">
        <f>(SUMIFS('MAIN DATA, Orders'!$I:$I,'MAIN DATA, Orders'!$C:$C,"Germany",'MAIN DATA, Orders'!$N:$N,"Einzelplan 14",'MAIN DATA, Orders'!$F:$F,"Main Battle Tank (MBT)",'MAIN DATA, Orders'!$Q:$Q,$A42))</f>
        <v>0</v>
      </c>
      <c r="D42" s="17">
        <f>(SUMIFS('MAIN DATA, Orders'!$I:$I,'MAIN DATA, Orders'!$C:$C,"Germany",'MAIN DATA, Orders'!$N:$N,"Sondervermögen",'MAIN DATA, Orders'!$F:$F,"Main Battle Tank (MBT)",'MAIN DATA, Orders'!$Q:$Q,$A42))</f>
        <v>0</v>
      </c>
      <c r="E42" s="17">
        <f>(SUMIFS('MAIN DATA, Orders'!$I:$I,'MAIN DATA, Orders'!$C:$C,"Germany",'MAIN DATA, Orders'!$N:$N,"Einzelplan 60",'MAIN DATA, Orders'!$F:$F,"Main Battle Tank (MBT)",'MAIN DATA, Orders'!$Q:$Q,$A42))</f>
        <v>0</v>
      </c>
    </row>
    <row r="43" spans="1:5">
      <c r="A43" s="72">
        <v>37</v>
      </c>
      <c r="B43" s="68">
        <v>44927</v>
      </c>
      <c r="C43" s="17">
        <f>(SUMIFS('MAIN DATA, Orders'!$I:$I,'MAIN DATA, Orders'!$C:$C,"Germany",'MAIN DATA, Orders'!$N:$N,"Einzelplan 14",'MAIN DATA, Orders'!$F:$F,"Main Battle Tank (MBT)",'MAIN DATA, Orders'!$Q:$Q,$A43))</f>
        <v>0</v>
      </c>
      <c r="D43" s="17">
        <f>(SUMIFS('MAIN DATA, Orders'!$I:$I,'MAIN DATA, Orders'!$C:$C,"Germany",'MAIN DATA, Orders'!$N:$N,"Sondervermögen",'MAIN DATA, Orders'!$F:$F,"Main Battle Tank (MBT)",'MAIN DATA, Orders'!$Q:$Q,$A43))</f>
        <v>0</v>
      </c>
      <c r="E43" s="17">
        <f>(SUMIFS('MAIN DATA, Orders'!$I:$I,'MAIN DATA, Orders'!$C:$C,"Germany",'MAIN DATA, Orders'!$N:$N,"Einzelplan 60",'MAIN DATA, Orders'!$F:$F,"Main Battle Tank (MBT)",'MAIN DATA, Orders'!$Q:$Q,$A43))</f>
        <v>0</v>
      </c>
    </row>
    <row r="44" spans="1:5">
      <c r="A44" s="72">
        <v>38</v>
      </c>
      <c r="B44" s="68">
        <v>44958</v>
      </c>
      <c r="C44" s="17">
        <f>(SUMIFS('MAIN DATA, Orders'!$I:$I,'MAIN DATA, Orders'!$C:$C,"Germany",'MAIN DATA, Orders'!$N:$N,"Einzelplan 14",'MAIN DATA, Orders'!$F:$F,"Main Battle Tank (MBT)",'MAIN DATA, Orders'!$Q:$Q,$A44))</f>
        <v>0</v>
      </c>
      <c r="D44" s="17">
        <f>(SUMIFS('MAIN DATA, Orders'!$I:$I,'MAIN DATA, Orders'!$C:$C,"Germany",'MAIN DATA, Orders'!$N:$N,"Sondervermögen",'MAIN DATA, Orders'!$F:$F,"Main Battle Tank (MBT)",'MAIN DATA, Orders'!$Q:$Q,$A44))</f>
        <v>0</v>
      </c>
      <c r="E44" s="17">
        <f>(SUMIFS('MAIN DATA, Orders'!$I:$I,'MAIN DATA, Orders'!$C:$C,"Germany",'MAIN DATA, Orders'!$N:$N,"Einzelplan 60",'MAIN DATA, Orders'!$F:$F,"Main Battle Tank (MBT)",'MAIN DATA, Orders'!$Q:$Q,$A44))</f>
        <v>0</v>
      </c>
    </row>
    <row r="45" spans="1:5">
      <c r="A45" s="72">
        <v>39</v>
      </c>
      <c r="B45" s="68">
        <v>44986</v>
      </c>
      <c r="C45" s="17">
        <f>(SUMIFS('MAIN DATA, Orders'!$I:$I,'MAIN DATA, Orders'!$C:$C,"Germany",'MAIN DATA, Orders'!$N:$N,"Einzelplan 14",'MAIN DATA, Orders'!$F:$F,"Main Battle Tank (MBT)",'MAIN DATA, Orders'!$Q:$Q,$A45))</f>
        <v>0</v>
      </c>
      <c r="D45" s="17">
        <f>(SUMIFS('MAIN DATA, Orders'!$I:$I,'MAIN DATA, Orders'!$C:$C,"Germany",'MAIN DATA, Orders'!$N:$N,"Sondervermögen",'MAIN DATA, Orders'!$F:$F,"Main Battle Tank (MBT)",'MAIN DATA, Orders'!$Q:$Q,$A45))</f>
        <v>0</v>
      </c>
      <c r="E45" s="17">
        <f>(SUMIFS('MAIN DATA, Orders'!$I:$I,'MAIN DATA, Orders'!$C:$C,"Germany",'MAIN DATA, Orders'!$N:$N,"Einzelplan 60",'MAIN DATA, Orders'!$F:$F,"Main Battle Tank (MBT)",'MAIN DATA, Orders'!$Q:$Q,$A45))</f>
        <v>0</v>
      </c>
    </row>
    <row r="46" spans="1:5">
      <c r="A46" s="72">
        <v>40</v>
      </c>
      <c r="B46" s="68">
        <v>45017</v>
      </c>
      <c r="C46" s="17">
        <f>(SUMIFS('MAIN DATA, Orders'!$I:$I,'MAIN DATA, Orders'!$C:$C,"Germany",'MAIN DATA, Orders'!$N:$N,"Einzelplan 14",'MAIN DATA, Orders'!$F:$F,"Main Battle Tank (MBT)",'MAIN DATA, Orders'!$Q:$Q,$A46))</f>
        <v>0</v>
      </c>
      <c r="D46" s="17">
        <f>(SUMIFS('MAIN DATA, Orders'!$I:$I,'MAIN DATA, Orders'!$C:$C,"Germany",'MAIN DATA, Orders'!$N:$N,"Sondervermögen",'MAIN DATA, Orders'!$F:$F,"Main Battle Tank (MBT)",'MAIN DATA, Orders'!$Q:$Q,$A46))</f>
        <v>0</v>
      </c>
      <c r="E46" s="17">
        <f>(SUMIFS('MAIN DATA, Orders'!$I:$I,'MAIN DATA, Orders'!$C:$C,"Germany",'MAIN DATA, Orders'!$N:$N,"Einzelplan 60",'MAIN DATA, Orders'!$F:$F,"Main Battle Tank (MBT)",'MAIN DATA, Orders'!$Q:$Q,$A46))</f>
        <v>0</v>
      </c>
    </row>
    <row r="47" spans="1:5">
      <c r="A47" s="72">
        <v>41</v>
      </c>
      <c r="B47" s="68">
        <v>45047</v>
      </c>
      <c r="C47" s="17">
        <f>(SUMIFS('MAIN DATA, Orders'!$I:$I,'MAIN DATA, Orders'!$C:$C,"Germany",'MAIN DATA, Orders'!$N:$N,"Einzelplan 14",'MAIN DATA, Orders'!$F:$F,"Main Battle Tank (MBT)",'MAIN DATA, Orders'!$Q:$Q,$A47))</f>
        <v>0</v>
      </c>
      <c r="D47" s="17">
        <f>(SUMIFS('MAIN DATA, Orders'!$I:$I,'MAIN DATA, Orders'!$C:$C,"Germany",'MAIN DATA, Orders'!$N:$N,"Sondervermögen",'MAIN DATA, Orders'!$F:$F,"Main Battle Tank (MBT)",'MAIN DATA, Orders'!$Q:$Q,$A47))</f>
        <v>0</v>
      </c>
      <c r="E47" s="17">
        <f>(SUMIFS('MAIN DATA, Orders'!$I:$I,'MAIN DATA, Orders'!$C:$C,"Germany",'MAIN DATA, Orders'!$N:$N,"Einzelplan 60",'MAIN DATA, Orders'!$F:$F,"Main Battle Tank (MBT)",'MAIN DATA, Orders'!$Q:$Q,$A47))</f>
        <v>18</v>
      </c>
    </row>
    <row r="48" spans="1:5">
      <c r="A48" s="72">
        <v>42</v>
      </c>
      <c r="B48" s="68">
        <v>45078</v>
      </c>
      <c r="C48" s="17">
        <f>(SUMIFS('MAIN DATA, Orders'!$I:$I,'MAIN DATA, Orders'!$C:$C,"Germany",'MAIN DATA, Orders'!$N:$N,"Einzelplan 14",'MAIN DATA, Orders'!$F:$F,"Main Battle Tank (MBT)",'MAIN DATA, Orders'!$Q:$Q,$A48))</f>
        <v>0</v>
      </c>
      <c r="D48" s="17">
        <f>(SUMIFS('MAIN DATA, Orders'!$I:$I,'MAIN DATA, Orders'!$C:$C,"Germany",'MAIN DATA, Orders'!$N:$N,"Sondervermögen",'MAIN DATA, Orders'!$F:$F,"Main Battle Tank (MBT)",'MAIN DATA, Orders'!$Q:$Q,$A48))</f>
        <v>0</v>
      </c>
      <c r="E48" s="17">
        <f>(SUMIFS('MAIN DATA, Orders'!$I:$I,'MAIN DATA, Orders'!$C:$C,"Germany",'MAIN DATA, Orders'!$N:$N,"Einzelplan 60",'MAIN DATA, Orders'!$F:$F,"Main Battle Tank (MBT)",'MAIN DATA, Orders'!$Q:$Q,$A48))</f>
        <v>0</v>
      </c>
    </row>
    <row r="49" spans="1:5">
      <c r="A49" s="72">
        <v>43</v>
      </c>
      <c r="B49" s="68">
        <v>45108</v>
      </c>
      <c r="C49" s="17">
        <f>(SUMIFS('MAIN DATA, Orders'!$I:$I,'MAIN DATA, Orders'!$C:$C,"Germany",'MAIN DATA, Orders'!$N:$N,"Einzelplan 14",'MAIN DATA, Orders'!$F:$F,"Main Battle Tank (MBT)",'MAIN DATA, Orders'!$Q:$Q,$A49))</f>
        <v>0</v>
      </c>
      <c r="D49" s="17">
        <f>(SUMIFS('MAIN DATA, Orders'!$I:$I,'MAIN DATA, Orders'!$C:$C,"Germany",'MAIN DATA, Orders'!$N:$N,"Sondervermögen",'MAIN DATA, Orders'!$F:$F,"Main Battle Tank (MBT)",'MAIN DATA, Orders'!$Q:$Q,$A49))</f>
        <v>0</v>
      </c>
      <c r="E49" s="17">
        <f>(SUMIFS('MAIN DATA, Orders'!$I:$I,'MAIN DATA, Orders'!$C:$C,"Germany",'MAIN DATA, Orders'!$N:$N,"Einzelplan 60",'MAIN DATA, Orders'!$F:$F,"Main Battle Tank (MBT)",'MAIN DATA, Orders'!$Q:$Q,$A49))</f>
        <v>0</v>
      </c>
    </row>
    <row r="50" spans="1:5">
      <c r="A50" s="72">
        <v>44</v>
      </c>
      <c r="B50" s="68">
        <v>45139</v>
      </c>
      <c r="C50" s="17">
        <f>(SUMIFS('MAIN DATA, Orders'!$I:$I,'MAIN DATA, Orders'!$C:$C,"Germany",'MAIN DATA, Orders'!$N:$N,"Einzelplan 14",'MAIN DATA, Orders'!$F:$F,"Main Battle Tank (MBT)",'MAIN DATA, Orders'!$Q:$Q,$A50))</f>
        <v>0</v>
      </c>
      <c r="D50" s="17">
        <f>(SUMIFS('MAIN DATA, Orders'!$I:$I,'MAIN DATA, Orders'!$C:$C,"Germany",'MAIN DATA, Orders'!$N:$N,"Sondervermögen",'MAIN DATA, Orders'!$F:$F,"Main Battle Tank (MBT)",'MAIN DATA, Orders'!$Q:$Q,$A50))</f>
        <v>0</v>
      </c>
      <c r="E50" s="17">
        <f>(SUMIFS('MAIN DATA, Orders'!$I:$I,'MAIN DATA, Orders'!$C:$C,"Germany",'MAIN DATA, Orders'!$N:$N,"Einzelplan 60",'MAIN DATA, Orders'!$F:$F,"Main Battle Tank (MBT)",'MAIN DATA, Orders'!$Q:$Q,$A50))</f>
        <v>0</v>
      </c>
    </row>
    <row r="51" spans="1:5">
      <c r="A51" s="72">
        <v>45</v>
      </c>
      <c r="B51" s="68">
        <v>45170</v>
      </c>
      <c r="C51" s="17">
        <f>(SUMIFS('MAIN DATA, Orders'!$I:$I,'MAIN DATA, Orders'!$C:$C,"Germany",'MAIN DATA, Orders'!$N:$N,"Einzelplan 14",'MAIN DATA, Orders'!$F:$F,"Main Battle Tank (MBT)",'MAIN DATA, Orders'!$Q:$Q,$A51))</f>
        <v>0</v>
      </c>
      <c r="D51" s="17">
        <f>(SUMIFS('MAIN DATA, Orders'!$I:$I,'MAIN DATA, Orders'!$C:$C,"Germany",'MAIN DATA, Orders'!$N:$N,"Sondervermögen",'MAIN DATA, Orders'!$F:$F,"Main Battle Tank (MBT)",'MAIN DATA, Orders'!$Q:$Q,$A51))</f>
        <v>0</v>
      </c>
      <c r="E51" s="17">
        <f>(SUMIFS('MAIN DATA, Orders'!$I:$I,'MAIN DATA, Orders'!$C:$C,"Germany",'MAIN DATA, Orders'!$N:$N,"Einzelplan 60",'MAIN DATA, Orders'!$F:$F,"Main Battle Tank (MBT)",'MAIN DATA, Orders'!$Q:$Q,$A51))</f>
        <v>0</v>
      </c>
    </row>
    <row r="52" spans="1:5">
      <c r="A52" s="72">
        <v>46</v>
      </c>
      <c r="B52" s="68">
        <v>45200</v>
      </c>
      <c r="C52" s="17">
        <f>(SUMIFS('MAIN DATA, Orders'!$I:$I,'MAIN DATA, Orders'!$C:$C,"Germany",'MAIN DATA, Orders'!$N:$N,"Einzelplan 14",'MAIN DATA, Orders'!$F:$F,"Main Battle Tank (MBT)",'MAIN DATA, Orders'!$Q:$Q,$A52))</f>
        <v>0</v>
      </c>
      <c r="D52" s="17">
        <f>(SUMIFS('MAIN DATA, Orders'!$I:$I,'MAIN DATA, Orders'!$C:$C,"Germany",'MAIN DATA, Orders'!$N:$N,"Sondervermögen",'MAIN DATA, Orders'!$F:$F,"Main Battle Tank (MBT)",'MAIN DATA, Orders'!$Q:$Q,$A52))</f>
        <v>0</v>
      </c>
      <c r="E52" s="17">
        <f>(SUMIFS('MAIN DATA, Orders'!$I:$I,'MAIN DATA, Orders'!$C:$C,"Germany",'MAIN DATA, Orders'!$N:$N,"Einzelplan 60",'MAIN DATA, Orders'!$F:$F,"Main Battle Tank (MBT)",'MAIN DATA, Orders'!$Q:$Q,$A52))</f>
        <v>0</v>
      </c>
    </row>
    <row r="53" spans="1:5">
      <c r="A53" s="72">
        <v>47</v>
      </c>
      <c r="B53" s="68">
        <v>45231</v>
      </c>
      <c r="C53" s="17">
        <f>(SUMIFS('MAIN DATA, Orders'!$I:$I,'MAIN DATA, Orders'!$C:$C,"Germany",'MAIN DATA, Orders'!$N:$N,"Einzelplan 14",'MAIN DATA, Orders'!$F:$F,"Main Battle Tank (MBT)",'MAIN DATA, Orders'!$Q:$Q,$A53))</f>
        <v>0</v>
      </c>
      <c r="D53" s="17">
        <f>(SUMIFS('MAIN DATA, Orders'!$I:$I,'MAIN DATA, Orders'!$C:$C,"Germany",'MAIN DATA, Orders'!$N:$N,"Sondervermögen",'MAIN DATA, Orders'!$F:$F,"Main Battle Tank (MBT)",'MAIN DATA, Orders'!$Q:$Q,$A53))</f>
        <v>0</v>
      </c>
      <c r="E53" s="17">
        <f>(SUMIFS('MAIN DATA, Orders'!$I:$I,'MAIN DATA, Orders'!$C:$C,"Germany",'MAIN DATA, Orders'!$N:$N,"Einzelplan 60",'MAIN DATA, Orders'!$F:$F,"Main Battle Tank (MBT)",'MAIN DATA, Orders'!$Q:$Q,$A53))</f>
        <v>0</v>
      </c>
    </row>
    <row r="54" spans="1:5">
      <c r="A54" s="72">
        <v>48</v>
      </c>
      <c r="B54" s="68">
        <v>45261</v>
      </c>
      <c r="C54" s="17">
        <f>(SUMIFS('MAIN DATA, Orders'!$I:$I,'MAIN DATA, Orders'!$C:$C,"Germany",'MAIN DATA, Orders'!$N:$N,"Einzelplan 14",'MAIN DATA, Orders'!$F:$F,"Main Battle Tank (MBT)",'MAIN DATA, Orders'!$Q:$Q,$A54))</f>
        <v>0</v>
      </c>
      <c r="D54" s="17">
        <f>(SUMIFS('MAIN DATA, Orders'!$I:$I,'MAIN DATA, Orders'!$C:$C,"Germany",'MAIN DATA, Orders'!$N:$N,"Sondervermögen",'MAIN DATA, Orders'!$F:$F,"Main Battle Tank (MBT)",'MAIN DATA, Orders'!$Q:$Q,$A54))</f>
        <v>0</v>
      </c>
      <c r="E54" s="17">
        <f>(SUMIFS('MAIN DATA, Orders'!$I:$I,'MAIN DATA, Orders'!$C:$C,"Germany",'MAIN DATA, Orders'!$N:$N,"Einzelplan 60",'MAIN DATA, Orders'!$F:$F,"Main Battle Tank (MBT)",'MAIN DATA, Orders'!$Q:$Q,$A54))</f>
        <v>0</v>
      </c>
    </row>
    <row r="55" spans="1:5">
      <c r="A55" s="72">
        <v>49</v>
      </c>
      <c r="B55" s="68">
        <v>45292</v>
      </c>
      <c r="C55" s="17">
        <f>(SUMIFS('MAIN DATA, Orders'!$I:$I,'MAIN DATA, Orders'!$C:$C,"Germany",'MAIN DATA, Orders'!$N:$N,"Einzelplan 14",'MAIN DATA, Orders'!$F:$F,"Main Battle Tank (MBT)",'MAIN DATA, Orders'!$Q:$Q,$A55))</f>
        <v>0</v>
      </c>
      <c r="D55" s="17">
        <f>(SUMIFS('MAIN DATA, Orders'!$I:$I,'MAIN DATA, Orders'!$C:$C,"Germany",'MAIN DATA, Orders'!$N:$N,"Sondervermögen",'MAIN DATA, Orders'!$F:$F,"Main Battle Tank (MBT)",'MAIN DATA, Orders'!$Q:$Q,$A55))</f>
        <v>0</v>
      </c>
      <c r="E55" s="17">
        <f>(SUMIFS('MAIN DATA, Orders'!$I:$I,'MAIN DATA, Orders'!$C:$C,"Germany",'MAIN DATA, Orders'!$N:$N,"Einzelplan 60",'MAIN DATA, Orders'!$F:$F,"Main Battle Tank (MBT)",'MAIN DATA, Orders'!$Q:$Q,$A55))</f>
        <v>0</v>
      </c>
    </row>
    <row r="56" spans="1:5">
      <c r="A56" s="72">
        <v>50</v>
      </c>
      <c r="B56" s="68">
        <v>45323</v>
      </c>
      <c r="C56" s="17">
        <f>(SUMIFS('MAIN DATA, Orders'!$I:$I,'MAIN DATA, Orders'!$C:$C,"Germany",'MAIN DATA, Orders'!$N:$N,"Einzelplan 14",'MAIN DATA, Orders'!$F:$F,"Main Battle Tank (MBT)",'MAIN DATA, Orders'!$Q:$Q,$A56))</f>
        <v>0</v>
      </c>
      <c r="D56" s="17">
        <f>(SUMIFS('MAIN DATA, Orders'!$I:$I,'MAIN DATA, Orders'!$C:$C,"Germany",'MAIN DATA, Orders'!$N:$N,"Sondervermögen",'MAIN DATA, Orders'!$F:$F,"Main Battle Tank (MBT)",'MAIN DATA, Orders'!$Q:$Q,$A56))</f>
        <v>0</v>
      </c>
      <c r="E56" s="17">
        <f>(SUMIFS('MAIN DATA, Orders'!$I:$I,'MAIN DATA, Orders'!$C:$C,"Germany",'MAIN DATA, Orders'!$N:$N,"Einzelplan 60",'MAIN DATA, Orders'!$F:$F,"Main Battle Tank (MBT)",'MAIN DATA, Orders'!$Q:$Q,$A56))</f>
        <v>0</v>
      </c>
    </row>
    <row r="57" spans="1:5">
      <c r="A57" s="72">
        <v>51</v>
      </c>
      <c r="B57" s="68">
        <v>45352</v>
      </c>
      <c r="C57" s="17">
        <f>(SUMIFS('MAIN DATA, Orders'!$I:$I,'MAIN DATA, Orders'!$C:$C,"Germany",'MAIN DATA, Orders'!$N:$N,"Einzelplan 14",'MAIN DATA, Orders'!$F:$F,"Main Battle Tank (MBT)",'MAIN DATA, Orders'!$Q:$Q,$A57))</f>
        <v>0</v>
      </c>
      <c r="D57" s="17">
        <f>(SUMIFS('MAIN DATA, Orders'!$I:$I,'MAIN DATA, Orders'!$C:$C,"Germany",'MAIN DATA, Orders'!$N:$N,"Sondervermögen",'MAIN DATA, Orders'!$F:$F,"Main Battle Tank (MBT)",'MAIN DATA, Orders'!$Q:$Q,$A57))</f>
        <v>0</v>
      </c>
      <c r="E57" s="17">
        <f>(SUMIFS('MAIN DATA, Orders'!$I:$I,'MAIN DATA, Orders'!$C:$C,"Germany",'MAIN DATA, Orders'!$N:$N,"Einzelplan 60",'MAIN DATA, Orders'!$F:$F,"Main Battle Tank (MBT)",'MAIN DATA, Orders'!$Q:$Q,$A57))</f>
        <v>0</v>
      </c>
    </row>
    <row r="58" spans="1:5">
      <c r="A58" s="72">
        <v>52</v>
      </c>
      <c r="B58" s="68">
        <v>45383</v>
      </c>
      <c r="C58" s="17">
        <f>(SUMIFS('MAIN DATA, Orders'!$I:$I,'MAIN DATA, Orders'!$C:$C,"Germany",'MAIN DATA, Orders'!$N:$N,"Einzelplan 14",'MAIN DATA, Orders'!$F:$F,"Main Battle Tank (MBT)",'MAIN DATA, Orders'!$Q:$Q,$A58))</f>
        <v>0</v>
      </c>
      <c r="D58" s="17">
        <f>(SUMIFS('MAIN DATA, Orders'!$I:$I,'MAIN DATA, Orders'!$C:$C,"Germany",'MAIN DATA, Orders'!$N:$N,"Sondervermögen",'MAIN DATA, Orders'!$F:$F,"Main Battle Tank (MBT)",'MAIN DATA, Orders'!$Q:$Q,$A58))</f>
        <v>0</v>
      </c>
      <c r="E58" s="17">
        <f>(SUMIFS('MAIN DATA, Orders'!$I:$I,'MAIN DATA, Orders'!$C:$C,"Germany",'MAIN DATA, Orders'!$N:$N,"Einzelplan 60",'MAIN DATA, Orders'!$F:$F,"Main Battle Tank (MBT)",'MAIN DATA, Orders'!$Q:$Q,$A58))</f>
        <v>0</v>
      </c>
    </row>
    <row r="59" spans="1:5">
      <c r="A59" s="72">
        <v>53</v>
      </c>
      <c r="B59" s="68">
        <v>45413</v>
      </c>
      <c r="C59" s="17">
        <f>(SUMIFS('MAIN DATA, Orders'!$I:$I,'MAIN DATA, Orders'!$C:$C,"Germany",'MAIN DATA, Orders'!$N:$N,"Einzelplan 14",'MAIN DATA, Orders'!$F:$F,"Main Battle Tank (MBT)",'MAIN DATA, Orders'!$Q:$Q,$A59))</f>
        <v>0</v>
      </c>
      <c r="D59" s="17">
        <f>(SUMIFS('MAIN DATA, Orders'!$I:$I,'MAIN DATA, Orders'!$C:$C,"Germany",'MAIN DATA, Orders'!$N:$N,"Sondervermögen",'MAIN DATA, Orders'!$F:$F,"Main Battle Tank (MBT)",'MAIN DATA, Orders'!$Q:$Q,$A59))</f>
        <v>0</v>
      </c>
      <c r="E59" s="17">
        <f>(SUMIFS('MAIN DATA, Orders'!$I:$I,'MAIN DATA, Orders'!$C:$C,"Germany",'MAIN DATA, Orders'!$N:$N,"Einzelplan 60",'MAIN DATA, Orders'!$F:$F,"Main Battle Tank (MBT)",'MAIN DATA, Orders'!$Q:$Q,$A59))</f>
        <v>0</v>
      </c>
    </row>
    <row r="60" spans="1:5">
      <c r="A60" s="72">
        <v>54</v>
      </c>
      <c r="B60" s="68">
        <v>45444</v>
      </c>
      <c r="C60" s="17">
        <f>(SUMIFS('MAIN DATA, Orders'!$I:$I,'MAIN DATA, Orders'!$C:$C,"Germany",'MAIN DATA, Orders'!$N:$N,"Einzelplan 14",'MAIN DATA, Orders'!$F:$F,"Main Battle Tank (MBT)",'MAIN DATA, Orders'!$Q:$Q,$A60))</f>
        <v>0</v>
      </c>
      <c r="D60" s="17">
        <f>(SUMIFS('MAIN DATA, Orders'!$I:$I,'MAIN DATA, Orders'!$C:$C,"Germany",'MAIN DATA, Orders'!$N:$N,"Sondervermögen",'MAIN DATA, Orders'!$F:$F,"Main Battle Tank (MBT)",'MAIN DATA, Orders'!$Q:$Q,$A60))</f>
        <v>0</v>
      </c>
      <c r="E60" s="17">
        <f>(SUMIFS('MAIN DATA, Orders'!$I:$I,'MAIN DATA, Orders'!$C:$C,"Germany",'MAIN DATA, Orders'!$N:$N,"Einzelplan 60",'MAIN DATA, Orders'!$F:$F,"Main Battle Tank (MBT)",'MAIN DATA, Orders'!$Q:$Q,$A60))</f>
        <v>0</v>
      </c>
    </row>
    <row r="61" spans="1:5">
      <c r="A61" s="72">
        <v>55</v>
      </c>
      <c r="B61" s="155">
        <v>45474</v>
      </c>
      <c r="C61" s="60">
        <f>(SUMIFS('MAIN DATA, Orders'!$I:$I,'MAIN DATA, Orders'!$C:$C,"Germany",'MAIN DATA, Orders'!$N:$N,"Einzelplan 14",'MAIN DATA, Orders'!$F:$F,"Main Battle Tank (MBT)",'MAIN DATA, Orders'!$Q:$Q,$A61))</f>
        <v>0</v>
      </c>
      <c r="D61" s="60">
        <f>(SUMIFS('MAIN DATA, Orders'!$I:$I,'MAIN DATA, Orders'!$C:$C,"Germany",'MAIN DATA, Orders'!$N:$N,"Sondervermögen",'MAIN DATA, Orders'!$F:$F,"Main Battle Tank (MBT)",'MAIN DATA, Orders'!$Q:$Q,$A61))</f>
        <v>105</v>
      </c>
      <c r="E61" s="60">
        <f>(SUMIFS('MAIN DATA, Orders'!$I:$I,'MAIN DATA, Orders'!$C:$C,"Germany",'MAIN DATA, Orders'!$N:$N,"Einzelplan 60",'MAIN DATA, Orders'!$F:$F,"Main Battle Tank (MBT)",'MAIN DATA, Orders'!$Q:$Q,$A61))</f>
        <v>0</v>
      </c>
    </row>
    <row r="62" spans="1:5">
      <c r="A62" s="199"/>
      <c r="B62" s="199"/>
      <c r="C62" s="199"/>
      <c r="D62" s="199"/>
      <c r="E62" s="199"/>
    </row>
    <row r="63" spans="1:5">
      <c r="A63" s="199"/>
      <c r="B63" s="71" t="s">
        <v>1431</v>
      </c>
      <c r="C63" s="71">
        <f>SUM(C7:C61)</f>
        <v>0</v>
      </c>
      <c r="D63" s="71">
        <f>SUM(D7:D61)</f>
        <v>105</v>
      </c>
      <c r="E63" s="71">
        <f>SUM(E7:E61)</f>
        <v>18</v>
      </c>
    </row>
  </sheetData>
  <mergeCells count="1">
    <mergeCell ref="B4:G4"/>
  </mergeCell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9FA01-3C95-4375-BFE2-27B613D98E46}">
  <sheetPr>
    <tabColor theme="9" tint="0.59999389629810485"/>
  </sheetPr>
  <dimension ref="A2:F63"/>
  <sheetViews>
    <sheetView workbookViewId="0"/>
  </sheetViews>
  <sheetFormatPr defaultColWidth="8.69921875" defaultRowHeight="15.6"/>
  <cols>
    <col min="1" max="1" width="8.69921875" style="1"/>
    <col min="2" max="2" width="13.5" style="1" customWidth="1"/>
    <col min="3" max="3" width="20.69921875" style="1" bestFit="1" customWidth="1"/>
    <col min="4" max="4" width="23.69921875" style="1" bestFit="1" customWidth="1"/>
    <col min="5" max="5" width="20.69921875" style="1" bestFit="1" customWidth="1"/>
    <col min="6" max="16384" width="8.69921875" style="1"/>
  </cols>
  <sheetData>
    <row r="2" spans="1:6" ht="25.2">
      <c r="B2" s="67" t="s">
        <v>1668</v>
      </c>
    </row>
    <row r="4" spans="1:6" ht="130.19999999999999" customHeight="1">
      <c r="B4" s="206" t="s">
        <v>1669</v>
      </c>
      <c r="C4" s="206"/>
      <c r="D4" s="206"/>
      <c r="E4" s="206"/>
      <c r="F4" s="206"/>
    </row>
    <row r="6" spans="1:6" ht="21" customHeight="1">
      <c r="B6" s="161" t="s">
        <v>1404</v>
      </c>
      <c r="C6" s="162" t="s">
        <v>165</v>
      </c>
      <c r="D6" s="162" t="s">
        <v>665</v>
      </c>
      <c r="E6" s="162" t="s">
        <v>784</v>
      </c>
    </row>
    <row r="7" spans="1:6">
      <c r="A7" s="72">
        <v>1</v>
      </c>
      <c r="B7" s="68">
        <v>43831</v>
      </c>
      <c r="C7" s="61" cm="1">
        <f t="array" ref="C7">SUM(SUMIFS('MAIN DATA, Orders'!$M:$M,'MAIN DATA, Orders'!$C:$C,"Germany",'MAIN DATA, Orders'!$N:$N,"Einzelplan 14",'MAIN DATA, Orders'!$G:$G,{"Missile (Land)","Missile (Air)","Missile (Naval)"},'MAIN DATA, Orders'!$Q:$Q,$A7)/1000000000)</f>
        <v>0</v>
      </c>
      <c r="D7" s="61" cm="1">
        <f t="array" ref="D7">SUM(SUMIFS('MAIN DATA, Orders'!$M:$M,'MAIN DATA, Orders'!$C:$C,"Germany",'MAIN DATA, Orders'!$N:$N,"Sondervermögen",'MAIN DATA, Orders'!$G:$G,{"Missile (Land)","Missile (Air)","Missile (Naval)"},'MAIN DATA, Orders'!$Q:$Q,$A7)/1000000000)</f>
        <v>0</v>
      </c>
      <c r="E7" s="61" cm="1">
        <f t="array" ref="E7">SUM(SUMIFS('MAIN DATA, Orders'!$M:$M,'MAIN DATA, Orders'!$C:$C,"Germany",'MAIN DATA, Orders'!$N:$N,"Einzelplan 60",'MAIN DATA, Orders'!$G:$G,{"Missile (Land)","Missile (Air)","Missile (Naval)"},'MAIN DATA, Orders'!$Q:$Q,$A7)/1000000000)</f>
        <v>0</v>
      </c>
    </row>
    <row r="8" spans="1:6">
      <c r="A8" s="72">
        <v>2</v>
      </c>
      <c r="B8" s="68">
        <v>43862</v>
      </c>
      <c r="C8" s="61" cm="1">
        <f t="array" ref="C8">SUM(SUMIFS('MAIN DATA, Orders'!$M:$M,'MAIN DATA, Orders'!$C:$C,"Germany",'MAIN DATA, Orders'!$N:$N,"Einzelplan 14",'MAIN DATA, Orders'!$G:$G,{"Missile (Land)","Missile (Air)","Missile (Naval)"},'MAIN DATA, Orders'!$Q:$Q,$A8)/1000000000)</f>
        <v>0</v>
      </c>
      <c r="D8" s="61" cm="1">
        <f t="array" ref="D8">SUM(SUMIFS('MAIN DATA, Orders'!$M:$M,'MAIN DATA, Orders'!$C:$C,"Germany",'MAIN DATA, Orders'!$N:$N,"Sondervermögen",'MAIN DATA, Orders'!$G:$G,{"Missile (Land)","Missile (Air)","Missile (Naval)"},'MAIN DATA, Orders'!$Q:$Q,$A8)/1000000000)</f>
        <v>0</v>
      </c>
      <c r="E8" s="61" cm="1">
        <f t="array" ref="E8">SUM(SUMIFS('MAIN DATA, Orders'!$M:$M,'MAIN DATA, Orders'!$C:$C,"Germany",'MAIN DATA, Orders'!$N:$N,"Einzelplan 60",'MAIN DATA, Orders'!$G:$G,{"Missile (Land)","Missile (Air)","Missile (Naval)"},'MAIN DATA, Orders'!$Q:$Q,$A8)/1000000000)</f>
        <v>0</v>
      </c>
    </row>
    <row r="9" spans="1:6">
      <c r="A9" s="72">
        <v>3</v>
      </c>
      <c r="B9" s="68">
        <v>43891</v>
      </c>
      <c r="C9" s="61" cm="1">
        <f t="array" ref="C9">SUM(SUMIFS('MAIN DATA, Orders'!$M:$M,'MAIN DATA, Orders'!$C:$C,"Germany",'MAIN DATA, Orders'!$N:$N,"Einzelplan 14",'MAIN DATA, Orders'!$G:$G,{"Missile (Land)","Missile (Air)","Missile (Naval)"},'MAIN DATA, Orders'!$Q:$Q,$A9)/1000000000)</f>
        <v>0</v>
      </c>
      <c r="D9" s="61" cm="1">
        <f t="array" ref="D9">SUM(SUMIFS('MAIN DATA, Orders'!$M:$M,'MAIN DATA, Orders'!$C:$C,"Germany",'MAIN DATA, Orders'!$N:$N,"Sondervermögen",'MAIN DATA, Orders'!$G:$G,{"Missile (Land)","Missile (Air)","Missile (Naval)"},'MAIN DATA, Orders'!$Q:$Q,$A9)/1000000000)</f>
        <v>0</v>
      </c>
      <c r="E9" s="61" cm="1">
        <f t="array" ref="E9">SUM(SUMIFS('MAIN DATA, Orders'!$M:$M,'MAIN DATA, Orders'!$C:$C,"Germany",'MAIN DATA, Orders'!$N:$N,"Einzelplan 60",'MAIN DATA, Orders'!$G:$G,{"Missile (Land)","Missile (Air)","Missile (Naval)"},'MAIN DATA, Orders'!$Q:$Q,$A9)/1000000000)</f>
        <v>0</v>
      </c>
    </row>
    <row r="10" spans="1:6">
      <c r="A10" s="72">
        <v>4</v>
      </c>
      <c r="B10" s="68">
        <v>43922</v>
      </c>
      <c r="C10" s="61" cm="1">
        <f t="array" ref="C10">SUM(SUMIFS('MAIN DATA, Orders'!$M:$M,'MAIN DATA, Orders'!$C:$C,"Germany",'MAIN DATA, Orders'!$N:$N,"Einzelplan 14",'MAIN DATA, Orders'!$G:$G,{"Missile (Land)","Missile (Air)","Missile (Naval)"},'MAIN DATA, Orders'!$Q:$Q,$A10)/1000000000)</f>
        <v>0</v>
      </c>
      <c r="D10" s="61" cm="1">
        <f t="array" ref="D10">SUM(SUMIFS('MAIN DATA, Orders'!$M:$M,'MAIN DATA, Orders'!$C:$C,"Germany",'MAIN DATA, Orders'!$N:$N,"Sondervermögen",'MAIN DATA, Orders'!$G:$G,{"Missile (Land)","Missile (Air)","Missile (Naval)"},'MAIN DATA, Orders'!$Q:$Q,$A10)/1000000000)</f>
        <v>0</v>
      </c>
      <c r="E10" s="61" cm="1">
        <f t="array" ref="E10">SUM(SUMIFS('MAIN DATA, Orders'!$M:$M,'MAIN DATA, Orders'!$C:$C,"Germany",'MAIN DATA, Orders'!$N:$N,"Einzelplan 60",'MAIN DATA, Orders'!$G:$G,{"Missile (Land)","Missile (Air)","Missile (Naval)"},'MAIN DATA, Orders'!$Q:$Q,$A10)/1000000000)</f>
        <v>0</v>
      </c>
    </row>
    <row r="11" spans="1:6">
      <c r="A11" s="72">
        <v>5</v>
      </c>
      <c r="B11" s="68">
        <v>43952</v>
      </c>
      <c r="C11" s="61" cm="1">
        <f t="array" ref="C11">SUM(SUMIFS('MAIN DATA, Orders'!$M:$M,'MAIN DATA, Orders'!$C:$C,"Germany",'MAIN DATA, Orders'!$N:$N,"Einzelplan 14",'MAIN DATA, Orders'!$G:$G,{"Missile (Land)","Missile (Air)","Missile (Naval)"},'MAIN DATA, Orders'!$Q:$Q,$A11)/1000000000)</f>
        <v>0</v>
      </c>
      <c r="D11" s="61" cm="1">
        <f t="array" ref="D11">SUM(SUMIFS('MAIN DATA, Orders'!$M:$M,'MAIN DATA, Orders'!$C:$C,"Germany",'MAIN DATA, Orders'!$N:$N,"Sondervermögen",'MAIN DATA, Orders'!$G:$G,{"Missile (Land)","Missile (Air)","Missile (Naval)"},'MAIN DATA, Orders'!$Q:$Q,$A11)/1000000000)</f>
        <v>0</v>
      </c>
      <c r="E11" s="61" cm="1">
        <f t="array" ref="E11">SUM(SUMIFS('MAIN DATA, Orders'!$M:$M,'MAIN DATA, Orders'!$C:$C,"Germany",'MAIN DATA, Orders'!$N:$N,"Einzelplan 60",'MAIN DATA, Orders'!$G:$G,{"Missile (Land)","Missile (Air)","Missile (Naval)"},'MAIN DATA, Orders'!$Q:$Q,$A11)/1000000000)</f>
        <v>0</v>
      </c>
    </row>
    <row r="12" spans="1:6">
      <c r="A12" s="72">
        <v>6</v>
      </c>
      <c r="B12" s="68">
        <v>43983</v>
      </c>
      <c r="C12" s="61" cm="1">
        <f t="array" ref="C12">SUM(SUMIFS('MAIN DATA, Orders'!$M:$M,'MAIN DATA, Orders'!$C:$C,"Germany",'MAIN DATA, Orders'!$N:$N,"Einzelplan 14",'MAIN DATA, Orders'!$G:$G,{"Missile (Land)","Missile (Air)","Missile (Naval)"},'MAIN DATA, Orders'!$Q:$Q,$A12)/1000000000)</f>
        <v>0</v>
      </c>
      <c r="D12" s="61" cm="1">
        <f t="array" ref="D12">SUM(SUMIFS('MAIN DATA, Orders'!$M:$M,'MAIN DATA, Orders'!$C:$C,"Germany",'MAIN DATA, Orders'!$N:$N,"Sondervermögen",'MAIN DATA, Orders'!$G:$G,{"Missile (Land)","Missile (Air)","Missile (Naval)"},'MAIN DATA, Orders'!$Q:$Q,$A12)/1000000000)</f>
        <v>0</v>
      </c>
      <c r="E12" s="61" cm="1">
        <f t="array" ref="E12">SUM(SUMIFS('MAIN DATA, Orders'!$M:$M,'MAIN DATA, Orders'!$C:$C,"Germany",'MAIN DATA, Orders'!$N:$N,"Einzelplan 60",'MAIN DATA, Orders'!$G:$G,{"Missile (Land)","Missile (Air)","Missile (Naval)"},'MAIN DATA, Orders'!$Q:$Q,$A12)/1000000000)</f>
        <v>0</v>
      </c>
    </row>
    <row r="13" spans="1:6">
      <c r="A13" s="72">
        <v>7</v>
      </c>
      <c r="B13" s="68">
        <v>44013</v>
      </c>
      <c r="C13" s="61" cm="1">
        <f t="array" ref="C13">SUM(SUMIFS('MAIN DATA, Orders'!$M:$M,'MAIN DATA, Orders'!$C:$C,"Germany",'MAIN DATA, Orders'!$N:$N,"Einzelplan 14",'MAIN DATA, Orders'!$G:$G,{"Missile (Land)","Missile (Air)","Missile (Naval)"},'MAIN DATA, Orders'!$Q:$Q,$A13)/1000000000)</f>
        <v>0</v>
      </c>
      <c r="D13" s="61" cm="1">
        <f t="array" ref="D13">SUM(SUMIFS('MAIN DATA, Orders'!$M:$M,'MAIN DATA, Orders'!$C:$C,"Germany",'MAIN DATA, Orders'!$N:$N,"Sondervermögen",'MAIN DATA, Orders'!$G:$G,{"Missile (Land)","Missile (Air)","Missile (Naval)"},'MAIN DATA, Orders'!$Q:$Q,$A13)/1000000000)</f>
        <v>0</v>
      </c>
      <c r="E13" s="61" cm="1">
        <f t="array" ref="E13">SUM(SUMIFS('MAIN DATA, Orders'!$M:$M,'MAIN DATA, Orders'!$C:$C,"Germany",'MAIN DATA, Orders'!$N:$N,"Einzelplan 60",'MAIN DATA, Orders'!$G:$G,{"Missile (Land)","Missile (Air)","Missile (Naval)"},'MAIN DATA, Orders'!$Q:$Q,$A13)/1000000000)</f>
        <v>0</v>
      </c>
    </row>
    <row r="14" spans="1:6">
      <c r="A14" s="72">
        <v>8</v>
      </c>
      <c r="B14" s="68">
        <v>44044</v>
      </c>
      <c r="C14" s="61" cm="1">
        <f t="array" ref="C14">SUM(SUMIFS('MAIN DATA, Orders'!$M:$M,'MAIN DATA, Orders'!$C:$C,"Germany",'MAIN DATA, Orders'!$N:$N,"Einzelplan 14",'MAIN DATA, Orders'!$G:$G,{"Missile (Land)","Missile (Air)","Missile (Naval)"},'MAIN DATA, Orders'!$Q:$Q,$A14)/1000000000)</f>
        <v>0</v>
      </c>
      <c r="D14" s="61" cm="1">
        <f t="array" ref="D14">SUM(SUMIFS('MAIN DATA, Orders'!$M:$M,'MAIN DATA, Orders'!$C:$C,"Germany",'MAIN DATA, Orders'!$N:$N,"Sondervermögen",'MAIN DATA, Orders'!$G:$G,{"Missile (Land)","Missile (Air)","Missile (Naval)"},'MAIN DATA, Orders'!$Q:$Q,$A14)/1000000000)</f>
        <v>0</v>
      </c>
      <c r="E14" s="61" cm="1">
        <f t="array" ref="E14">SUM(SUMIFS('MAIN DATA, Orders'!$M:$M,'MAIN DATA, Orders'!$C:$C,"Germany",'MAIN DATA, Orders'!$N:$N,"Einzelplan 60",'MAIN DATA, Orders'!$G:$G,{"Missile (Land)","Missile (Air)","Missile (Naval)"},'MAIN DATA, Orders'!$Q:$Q,$A14)/1000000000)</f>
        <v>0</v>
      </c>
    </row>
    <row r="15" spans="1:6">
      <c r="A15" s="72">
        <v>9</v>
      </c>
      <c r="B15" s="68">
        <v>44075</v>
      </c>
      <c r="C15" s="61" cm="1">
        <f t="array" ref="C15">SUM(SUMIFS('MAIN DATA, Orders'!$M:$M,'MAIN DATA, Orders'!$C:$C,"Germany",'MAIN DATA, Orders'!$N:$N,"Einzelplan 14",'MAIN DATA, Orders'!$G:$G,{"Missile (Land)","Missile (Air)","Missile (Naval)"},'MAIN DATA, Orders'!$Q:$Q,$A15)/1000000000)</f>
        <v>0.29099999999999998</v>
      </c>
      <c r="D15" s="61" cm="1">
        <f t="array" ref="D15">SUM(SUMIFS('MAIN DATA, Orders'!$M:$M,'MAIN DATA, Orders'!$C:$C,"Germany",'MAIN DATA, Orders'!$N:$N,"Sondervermögen",'MAIN DATA, Orders'!$G:$G,{"Missile (Land)","Missile (Air)","Missile (Naval)"},'MAIN DATA, Orders'!$Q:$Q,$A15)/1000000000)</f>
        <v>0</v>
      </c>
      <c r="E15" s="61" cm="1">
        <f t="array" ref="E15">SUM(SUMIFS('MAIN DATA, Orders'!$M:$M,'MAIN DATA, Orders'!$C:$C,"Germany",'MAIN DATA, Orders'!$N:$N,"Einzelplan 60",'MAIN DATA, Orders'!$G:$G,{"Missile (Land)","Missile (Air)","Missile (Naval)"},'MAIN DATA, Orders'!$Q:$Q,$A15)/1000000000)</f>
        <v>0</v>
      </c>
    </row>
    <row r="16" spans="1:6">
      <c r="A16" s="72">
        <v>10</v>
      </c>
      <c r="B16" s="68">
        <v>44105</v>
      </c>
      <c r="C16" s="61" cm="1">
        <f t="array" ref="C16">SUM(SUMIFS('MAIN DATA, Orders'!$M:$M,'MAIN DATA, Orders'!$C:$C,"Germany",'MAIN DATA, Orders'!$N:$N,"Einzelplan 14",'MAIN DATA, Orders'!$G:$G,{"Missile (Land)","Missile (Air)","Missile (Naval)"},'MAIN DATA, Orders'!$Q:$Q,$A16)/1000000000)</f>
        <v>0</v>
      </c>
      <c r="D16" s="61" cm="1">
        <f t="array" ref="D16">SUM(SUMIFS('MAIN DATA, Orders'!$M:$M,'MAIN DATA, Orders'!$C:$C,"Germany",'MAIN DATA, Orders'!$N:$N,"Sondervermögen",'MAIN DATA, Orders'!$G:$G,{"Missile (Land)","Missile (Air)","Missile (Naval)"},'MAIN DATA, Orders'!$Q:$Q,$A16)/1000000000)</f>
        <v>0</v>
      </c>
      <c r="E16" s="61" cm="1">
        <f t="array" ref="E16">SUM(SUMIFS('MAIN DATA, Orders'!$M:$M,'MAIN DATA, Orders'!$C:$C,"Germany",'MAIN DATA, Orders'!$N:$N,"Einzelplan 60",'MAIN DATA, Orders'!$G:$G,{"Missile (Land)","Missile (Air)","Missile (Naval)"},'MAIN DATA, Orders'!$Q:$Q,$A16)/1000000000)</f>
        <v>0</v>
      </c>
    </row>
    <row r="17" spans="1:5">
      <c r="A17" s="72">
        <v>11</v>
      </c>
      <c r="B17" s="68">
        <v>44136</v>
      </c>
      <c r="C17" s="61" cm="1">
        <f t="array" ref="C17">SUM(SUMIFS('MAIN DATA, Orders'!$M:$M,'MAIN DATA, Orders'!$C:$C,"Germany",'MAIN DATA, Orders'!$N:$N,"Einzelplan 14",'MAIN DATA, Orders'!$G:$G,{"Missile (Land)","Missile (Air)","Missile (Naval)"},'MAIN DATA, Orders'!$Q:$Q,$A17)/1000000000)</f>
        <v>0</v>
      </c>
      <c r="D17" s="61" cm="1">
        <f t="array" ref="D17">SUM(SUMIFS('MAIN DATA, Orders'!$M:$M,'MAIN DATA, Orders'!$C:$C,"Germany",'MAIN DATA, Orders'!$N:$N,"Sondervermögen",'MAIN DATA, Orders'!$G:$G,{"Missile (Land)","Missile (Air)","Missile (Naval)"},'MAIN DATA, Orders'!$Q:$Q,$A17)/1000000000)</f>
        <v>0</v>
      </c>
      <c r="E17" s="61" cm="1">
        <f t="array" ref="E17">SUM(SUMIFS('MAIN DATA, Orders'!$M:$M,'MAIN DATA, Orders'!$C:$C,"Germany",'MAIN DATA, Orders'!$N:$N,"Einzelplan 60",'MAIN DATA, Orders'!$G:$G,{"Missile (Land)","Missile (Air)","Missile (Naval)"},'MAIN DATA, Orders'!$Q:$Q,$A17)/1000000000)</f>
        <v>0</v>
      </c>
    </row>
    <row r="18" spans="1:5">
      <c r="A18" s="72">
        <v>12</v>
      </c>
      <c r="B18" s="68">
        <v>44166</v>
      </c>
      <c r="C18" s="61" cm="1">
        <f t="array" ref="C18">SUM(SUMIFS('MAIN DATA, Orders'!$M:$M,'MAIN DATA, Orders'!$C:$C,"Germany",'MAIN DATA, Orders'!$N:$N,"Einzelplan 14",'MAIN DATA, Orders'!$G:$G,{"Missile (Land)","Missile (Air)","Missile (Naval)"},'MAIN DATA, Orders'!$Q:$Q,$A18)/1000000000)</f>
        <v>0</v>
      </c>
      <c r="D18" s="61" cm="1">
        <f t="array" ref="D18">SUM(SUMIFS('MAIN DATA, Orders'!$M:$M,'MAIN DATA, Orders'!$C:$C,"Germany",'MAIN DATA, Orders'!$N:$N,"Sondervermögen",'MAIN DATA, Orders'!$G:$G,{"Missile (Land)","Missile (Air)","Missile (Naval)"},'MAIN DATA, Orders'!$Q:$Q,$A18)/1000000000)</f>
        <v>0</v>
      </c>
      <c r="E18" s="61" cm="1">
        <f t="array" ref="E18">SUM(SUMIFS('MAIN DATA, Orders'!$M:$M,'MAIN DATA, Orders'!$C:$C,"Germany",'MAIN DATA, Orders'!$N:$N,"Einzelplan 60",'MAIN DATA, Orders'!$G:$G,{"Missile (Land)","Missile (Air)","Missile (Naval)"},'MAIN DATA, Orders'!$Q:$Q,$A18)/1000000000)</f>
        <v>0</v>
      </c>
    </row>
    <row r="19" spans="1:5">
      <c r="A19" s="72">
        <v>13</v>
      </c>
      <c r="B19" s="68">
        <v>44197</v>
      </c>
      <c r="C19" s="61" cm="1">
        <f t="array" ref="C19">SUM(SUMIFS('MAIN DATA, Orders'!$M:$M,'MAIN DATA, Orders'!$C:$C,"Germany",'MAIN DATA, Orders'!$N:$N,"Einzelplan 14",'MAIN DATA, Orders'!$G:$G,{"Missile (Land)","Missile (Air)","Missile (Naval)"},'MAIN DATA, Orders'!$Q:$Q,$A19)/1000000000)</f>
        <v>0</v>
      </c>
      <c r="D19" s="61" cm="1">
        <f t="array" ref="D19">SUM(SUMIFS('MAIN DATA, Orders'!$M:$M,'MAIN DATA, Orders'!$C:$C,"Germany",'MAIN DATA, Orders'!$N:$N,"Sondervermögen",'MAIN DATA, Orders'!$G:$G,{"Missile (Land)","Missile (Air)","Missile (Naval)"},'MAIN DATA, Orders'!$Q:$Q,$A19)/1000000000)</f>
        <v>0</v>
      </c>
      <c r="E19" s="61" cm="1">
        <f t="array" ref="E19">SUM(SUMIFS('MAIN DATA, Orders'!$M:$M,'MAIN DATA, Orders'!$C:$C,"Germany",'MAIN DATA, Orders'!$N:$N,"Einzelplan 60",'MAIN DATA, Orders'!$G:$G,{"Missile (Land)","Missile (Air)","Missile (Naval)"},'MAIN DATA, Orders'!$Q:$Q,$A19)/1000000000)</f>
        <v>0</v>
      </c>
    </row>
    <row r="20" spans="1:5">
      <c r="A20" s="72">
        <v>14</v>
      </c>
      <c r="B20" s="68">
        <v>44228</v>
      </c>
      <c r="C20" s="61" cm="1">
        <f t="array" ref="C20">SUM(SUMIFS('MAIN DATA, Orders'!$M:$M,'MAIN DATA, Orders'!$C:$C,"Germany",'MAIN DATA, Orders'!$N:$N,"Einzelplan 14",'MAIN DATA, Orders'!$G:$G,{"Missile (Land)","Missile (Air)","Missile (Naval)"},'MAIN DATA, Orders'!$Q:$Q,$A20)/1000000000)</f>
        <v>8.7999999999999995E-2</v>
      </c>
      <c r="D20" s="61" cm="1">
        <f t="array" ref="D20">SUM(SUMIFS('MAIN DATA, Orders'!$M:$M,'MAIN DATA, Orders'!$C:$C,"Germany",'MAIN DATA, Orders'!$N:$N,"Sondervermögen",'MAIN DATA, Orders'!$G:$G,{"Missile (Land)","Missile (Air)","Missile (Naval)"},'MAIN DATA, Orders'!$Q:$Q,$A20)/1000000000)</f>
        <v>0</v>
      </c>
      <c r="E20" s="61" cm="1">
        <f t="array" ref="E20">SUM(SUMIFS('MAIN DATA, Orders'!$M:$M,'MAIN DATA, Orders'!$C:$C,"Germany",'MAIN DATA, Orders'!$N:$N,"Einzelplan 60",'MAIN DATA, Orders'!$G:$G,{"Missile (Land)","Missile (Air)","Missile (Naval)"},'MAIN DATA, Orders'!$Q:$Q,$A20)/1000000000)</f>
        <v>0</v>
      </c>
    </row>
    <row r="21" spans="1:5">
      <c r="A21" s="72">
        <v>15</v>
      </c>
      <c r="B21" s="68">
        <v>44256</v>
      </c>
      <c r="C21" s="61" cm="1">
        <f t="array" ref="C21">SUM(SUMIFS('MAIN DATA, Orders'!$M:$M,'MAIN DATA, Orders'!$C:$C,"Germany",'MAIN DATA, Orders'!$N:$N,"Einzelplan 14",'MAIN DATA, Orders'!$G:$G,{"Missile (Land)","Missile (Air)","Missile (Naval)"},'MAIN DATA, Orders'!$Q:$Q,$A21)/1000000000)</f>
        <v>0</v>
      </c>
      <c r="D21" s="61" cm="1">
        <f t="array" ref="D21">SUM(SUMIFS('MAIN DATA, Orders'!$M:$M,'MAIN DATA, Orders'!$C:$C,"Germany",'MAIN DATA, Orders'!$N:$N,"Sondervermögen",'MAIN DATA, Orders'!$G:$G,{"Missile (Land)","Missile (Air)","Missile (Naval)"},'MAIN DATA, Orders'!$Q:$Q,$A21)/1000000000)</f>
        <v>0</v>
      </c>
      <c r="E21" s="61" cm="1">
        <f t="array" ref="E21">SUM(SUMIFS('MAIN DATA, Orders'!$M:$M,'MAIN DATA, Orders'!$C:$C,"Germany",'MAIN DATA, Orders'!$N:$N,"Einzelplan 60",'MAIN DATA, Orders'!$G:$G,{"Missile (Land)","Missile (Air)","Missile (Naval)"},'MAIN DATA, Orders'!$Q:$Q,$A21)/1000000000)</f>
        <v>0</v>
      </c>
    </row>
    <row r="22" spans="1:5">
      <c r="A22" s="72">
        <v>16</v>
      </c>
      <c r="B22" s="68">
        <v>44287</v>
      </c>
      <c r="C22" s="61" cm="1">
        <f t="array" ref="C22">SUM(SUMIFS('MAIN DATA, Orders'!$M:$M,'MAIN DATA, Orders'!$C:$C,"Germany",'MAIN DATA, Orders'!$N:$N,"Einzelplan 14",'MAIN DATA, Orders'!$G:$G,{"Missile (Land)","Missile (Air)","Missile (Naval)"},'MAIN DATA, Orders'!$Q:$Q,$A22)/1000000000)</f>
        <v>0</v>
      </c>
      <c r="D22" s="61" cm="1">
        <f t="array" ref="D22">SUM(SUMIFS('MAIN DATA, Orders'!$M:$M,'MAIN DATA, Orders'!$C:$C,"Germany",'MAIN DATA, Orders'!$N:$N,"Sondervermögen",'MAIN DATA, Orders'!$G:$G,{"Missile (Land)","Missile (Air)","Missile (Naval)"},'MAIN DATA, Orders'!$Q:$Q,$A22)/1000000000)</f>
        <v>0</v>
      </c>
      <c r="E22" s="61" cm="1">
        <f t="array" ref="E22">SUM(SUMIFS('MAIN DATA, Orders'!$M:$M,'MAIN DATA, Orders'!$C:$C,"Germany",'MAIN DATA, Orders'!$N:$N,"Einzelplan 60",'MAIN DATA, Orders'!$G:$G,{"Missile (Land)","Missile (Air)","Missile (Naval)"},'MAIN DATA, Orders'!$Q:$Q,$A22)/1000000000)</f>
        <v>0</v>
      </c>
    </row>
    <row r="23" spans="1:5">
      <c r="A23" s="72">
        <v>17</v>
      </c>
      <c r="B23" s="68">
        <v>44317</v>
      </c>
      <c r="C23" s="61" cm="1">
        <f t="array" ref="C23">SUM(SUMIFS('MAIN DATA, Orders'!$M:$M,'MAIN DATA, Orders'!$C:$C,"Germany",'MAIN DATA, Orders'!$N:$N,"Einzelplan 14",'MAIN DATA, Orders'!$G:$G,{"Missile (Land)","Missile (Air)","Missile (Naval)"},'MAIN DATA, Orders'!$Q:$Q,$A23)/1000000000)</f>
        <v>0</v>
      </c>
      <c r="D23" s="61" cm="1">
        <f t="array" ref="D23">SUM(SUMIFS('MAIN DATA, Orders'!$M:$M,'MAIN DATA, Orders'!$C:$C,"Germany",'MAIN DATA, Orders'!$N:$N,"Sondervermögen",'MAIN DATA, Orders'!$G:$G,{"Missile (Land)","Missile (Air)","Missile (Naval)"},'MAIN DATA, Orders'!$Q:$Q,$A23)/1000000000)</f>
        <v>0</v>
      </c>
      <c r="E23" s="61" cm="1">
        <f t="array" ref="E23">SUM(SUMIFS('MAIN DATA, Orders'!$M:$M,'MAIN DATA, Orders'!$C:$C,"Germany",'MAIN DATA, Orders'!$N:$N,"Einzelplan 60",'MAIN DATA, Orders'!$G:$G,{"Missile (Land)","Missile (Air)","Missile (Naval)"},'MAIN DATA, Orders'!$Q:$Q,$A23)/1000000000)</f>
        <v>0</v>
      </c>
    </row>
    <row r="24" spans="1:5">
      <c r="A24" s="72">
        <v>18</v>
      </c>
      <c r="B24" s="68">
        <v>44348</v>
      </c>
      <c r="C24" s="61" cm="1">
        <f t="array" ref="C24">SUM(SUMIFS('MAIN DATA, Orders'!$M:$M,'MAIN DATA, Orders'!$C:$C,"Germany",'MAIN DATA, Orders'!$N:$N,"Einzelplan 14",'MAIN DATA, Orders'!$G:$G,{"Missile (Land)","Missile (Air)","Missile (Naval)"},'MAIN DATA, Orders'!$Q:$Q,$A24)/1000000000)</f>
        <v>0.42499999999999999</v>
      </c>
      <c r="D24" s="61" cm="1">
        <f t="array" ref="D24">SUM(SUMIFS('MAIN DATA, Orders'!$M:$M,'MAIN DATA, Orders'!$C:$C,"Germany",'MAIN DATA, Orders'!$N:$N,"Sondervermögen",'MAIN DATA, Orders'!$G:$G,{"Missile (Land)","Missile (Air)","Missile (Naval)"},'MAIN DATA, Orders'!$Q:$Q,$A24)/1000000000)</f>
        <v>0</v>
      </c>
      <c r="E24" s="61" cm="1">
        <f t="array" ref="E24">SUM(SUMIFS('MAIN DATA, Orders'!$M:$M,'MAIN DATA, Orders'!$C:$C,"Germany",'MAIN DATA, Orders'!$N:$N,"Einzelplan 60",'MAIN DATA, Orders'!$G:$G,{"Missile (Land)","Missile (Air)","Missile (Naval)"},'MAIN DATA, Orders'!$Q:$Q,$A24)/1000000000)</f>
        <v>0</v>
      </c>
    </row>
    <row r="25" spans="1:5">
      <c r="A25" s="72">
        <v>19</v>
      </c>
      <c r="B25" s="68">
        <v>44378</v>
      </c>
      <c r="C25" s="61" cm="1">
        <f t="array" ref="C25">SUM(SUMIFS('MAIN DATA, Orders'!$M:$M,'MAIN DATA, Orders'!$C:$C,"Germany",'MAIN DATA, Orders'!$N:$N,"Einzelplan 14",'MAIN DATA, Orders'!$G:$G,{"Missile (Land)","Missile (Air)","Missile (Naval)"},'MAIN DATA, Orders'!$Q:$Q,$A25)/1000000000)</f>
        <v>0</v>
      </c>
      <c r="D25" s="61" cm="1">
        <f t="array" ref="D25">SUM(SUMIFS('MAIN DATA, Orders'!$M:$M,'MAIN DATA, Orders'!$C:$C,"Germany",'MAIN DATA, Orders'!$N:$N,"Sondervermögen",'MAIN DATA, Orders'!$G:$G,{"Missile (Land)","Missile (Air)","Missile (Naval)"},'MAIN DATA, Orders'!$Q:$Q,$A25)/1000000000)</f>
        <v>0</v>
      </c>
      <c r="E25" s="61" cm="1">
        <f t="array" ref="E25">SUM(SUMIFS('MAIN DATA, Orders'!$M:$M,'MAIN DATA, Orders'!$C:$C,"Germany",'MAIN DATA, Orders'!$N:$N,"Einzelplan 60",'MAIN DATA, Orders'!$G:$G,{"Missile (Land)","Missile (Air)","Missile (Naval)"},'MAIN DATA, Orders'!$Q:$Q,$A25)/1000000000)</f>
        <v>0</v>
      </c>
    </row>
    <row r="26" spans="1:5">
      <c r="A26" s="72">
        <v>20</v>
      </c>
      <c r="B26" s="68">
        <v>44409</v>
      </c>
      <c r="C26" s="61" cm="1">
        <f t="array" ref="C26">SUM(SUMIFS('MAIN DATA, Orders'!$M:$M,'MAIN DATA, Orders'!$C:$C,"Germany",'MAIN DATA, Orders'!$N:$N,"Einzelplan 14",'MAIN DATA, Orders'!$G:$G,{"Missile (Land)","Missile (Air)","Missile (Naval)"},'MAIN DATA, Orders'!$Q:$Q,$A26)/1000000000)</f>
        <v>0</v>
      </c>
      <c r="D26" s="61" cm="1">
        <f t="array" ref="D26">SUM(SUMIFS('MAIN DATA, Orders'!$M:$M,'MAIN DATA, Orders'!$C:$C,"Germany",'MAIN DATA, Orders'!$N:$N,"Sondervermögen",'MAIN DATA, Orders'!$G:$G,{"Missile (Land)","Missile (Air)","Missile (Naval)"},'MAIN DATA, Orders'!$Q:$Q,$A26)/1000000000)</f>
        <v>0</v>
      </c>
      <c r="E26" s="61" cm="1">
        <f t="array" ref="E26">SUM(SUMIFS('MAIN DATA, Orders'!$M:$M,'MAIN DATA, Orders'!$C:$C,"Germany",'MAIN DATA, Orders'!$N:$N,"Einzelplan 60",'MAIN DATA, Orders'!$G:$G,{"Missile (Land)","Missile (Air)","Missile (Naval)"},'MAIN DATA, Orders'!$Q:$Q,$A26)/1000000000)</f>
        <v>0</v>
      </c>
    </row>
    <row r="27" spans="1:5">
      <c r="A27" s="72">
        <v>21</v>
      </c>
      <c r="B27" s="68">
        <v>44440</v>
      </c>
      <c r="C27" s="61" cm="1">
        <f t="array" ref="C27">SUM(SUMIFS('MAIN DATA, Orders'!$M:$M,'MAIN DATA, Orders'!$C:$C,"Germany",'MAIN DATA, Orders'!$N:$N,"Einzelplan 14",'MAIN DATA, Orders'!$G:$G,{"Missile (Land)","Missile (Air)","Missile (Naval)"},'MAIN DATA, Orders'!$Q:$Q,$A27)/1000000000)</f>
        <v>0</v>
      </c>
      <c r="D27" s="61" cm="1">
        <f t="array" ref="D27">SUM(SUMIFS('MAIN DATA, Orders'!$M:$M,'MAIN DATA, Orders'!$C:$C,"Germany",'MAIN DATA, Orders'!$N:$N,"Sondervermögen",'MAIN DATA, Orders'!$G:$G,{"Missile (Land)","Missile (Air)","Missile (Naval)"},'MAIN DATA, Orders'!$Q:$Q,$A27)/1000000000)</f>
        <v>0</v>
      </c>
      <c r="E27" s="61" cm="1">
        <f t="array" ref="E27">SUM(SUMIFS('MAIN DATA, Orders'!$M:$M,'MAIN DATA, Orders'!$C:$C,"Germany",'MAIN DATA, Orders'!$N:$N,"Einzelplan 60",'MAIN DATA, Orders'!$G:$G,{"Missile (Land)","Missile (Air)","Missile (Naval)"},'MAIN DATA, Orders'!$Q:$Q,$A27)/1000000000)</f>
        <v>0</v>
      </c>
    </row>
    <row r="28" spans="1:5">
      <c r="A28" s="72">
        <v>22</v>
      </c>
      <c r="B28" s="68">
        <v>44470</v>
      </c>
      <c r="C28" s="61" cm="1">
        <f t="array" ref="C28">SUM(SUMIFS('MAIN DATA, Orders'!$M:$M,'MAIN DATA, Orders'!$C:$C,"Germany",'MAIN DATA, Orders'!$N:$N,"Einzelplan 14",'MAIN DATA, Orders'!$G:$G,{"Missile (Land)","Missile (Air)","Missile (Naval)"},'MAIN DATA, Orders'!$Q:$Q,$A28)/1000000000)</f>
        <v>0</v>
      </c>
      <c r="D28" s="61" cm="1">
        <f t="array" ref="D28">SUM(SUMIFS('MAIN DATA, Orders'!$M:$M,'MAIN DATA, Orders'!$C:$C,"Germany",'MAIN DATA, Orders'!$N:$N,"Sondervermögen",'MAIN DATA, Orders'!$G:$G,{"Missile (Land)","Missile (Air)","Missile (Naval)"},'MAIN DATA, Orders'!$Q:$Q,$A28)/1000000000)</f>
        <v>0</v>
      </c>
      <c r="E28" s="61" cm="1">
        <f t="array" ref="E28">SUM(SUMIFS('MAIN DATA, Orders'!$M:$M,'MAIN DATA, Orders'!$C:$C,"Germany",'MAIN DATA, Orders'!$N:$N,"Einzelplan 60",'MAIN DATA, Orders'!$G:$G,{"Missile (Land)","Missile (Air)","Missile (Naval)"},'MAIN DATA, Orders'!$Q:$Q,$A28)/1000000000)</f>
        <v>0</v>
      </c>
    </row>
    <row r="29" spans="1:5">
      <c r="A29" s="72">
        <v>23</v>
      </c>
      <c r="B29" s="68">
        <v>44501</v>
      </c>
      <c r="C29" s="61" cm="1">
        <f t="array" ref="C29">SUM(SUMIFS('MAIN DATA, Orders'!$M:$M,'MAIN DATA, Orders'!$C:$C,"Germany",'MAIN DATA, Orders'!$N:$N,"Einzelplan 14",'MAIN DATA, Orders'!$G:$G,{"Missile (Land)","Missile (Air)","Missile (Naval)"},'MAIN DATA, Orders'!$Q:$Q,$A29)/1000000000)</f>
        <v>0</v>
      </c>
      <c r="D29" s="61" cm="1">
        <f t="array" ref="D29">SUM(SUMIFS('MAIN DATA, Orders'!$M:$M,'MAIN DATA, Orders'!$C:$C,"Germany",'MAIN DATA, Orders'!$N:$N,"Sondervermögen",'MAIN DATA, Orders'!$G:$G,{"Missile (Land)","Missile (Air)","Missile (Naval)"},'MAIN DATA, Orders'!$Q:$Q,$A29)/1000000000)</f>
        <v>0</v>
      </c>
      <c r="E29" s="61" cm="1">
        <f t="array" ref="E29">SUM(SUMIFS('MAIN DATA, Orders'!$M:$M,'MAIN DATA, Orders'!$C:$C,"Germany",'MAIN DATA, Orders'!$N:$N,"Einzelplan 60",'MAIN DATA, Orders'!$G:$G,{"Missile (Land)","Missile (Air)","Missile (Naval)"},'MAIN DATA, Orders'!$Q:$Q,$A29)/1000000000)</f>
        <v>0</v>
      </c>
    </row>
    <row r="30" spans="1:5">
      <c r="A30" s="72">
        <v>24</v>
      </c>
      <c r="B30" s="68">
        <v>44531</v>
      </c>
      <c r="C30" s="61" cm="1">
        <f t="array" ref="C30">SUM(SUMIFS('MAIN DATA, Orders'!$M:$M,'MAIN DATA, Orders'!$C:$C,"Germany",'MAIN DATA, Orders'!$N:$N,"Einzelplan 14",'MAIN DATA, Orders'!$G:$G,{"Missile (Land)","Missile (Air)","Missile (Naval)"},'MAIN DATA, Orders'!$Q:$Q,$A30)/1000000000)</f>
        <v>0</v>
      </c>
      <c r="D30" s="61" cm="1">
        <f t="array" ref="D30">SUM(SUMIFS('MAIN DATA, Orders'!$M:$M,'MAIN DATA, Orders'!$C:$C,"Germany",'MAIN DATA, Orders'!$N:$N,"Sondervermögen",'MAIN DATA, Orders'!$G:$G,{"Missile (Land)","Missile (Air)","Missile (Naval)"},'MAIN DATA, Orders'!$Q:$Q,$A30)/1000000000)</f>
        <v>0</v>
      </c>
      <c r="E30" s="61" cm="1">
        <f t="array" ref="E30">SUM(SUMIFS('MAIN DATA, Orders'!$M:$M,'MAIN DATA, Orders'!$C:$C,"Germany",'MAIN DATA, Orders'!$N:$N,"Einzelplan 60",'MAIN DATA, Orders'!$G:$G,{"Missile (Land)","Missile (Air)","Missile (Naval)"},'MAIN DATA, Orders'!$Q:$Q,$A30)/1000000000)</f>
        <v>0</v>
      </c>
    </row>
    <row r="31" spans="1:5">
      <c r="A31" s="72">
        <v>25</v>
      </c>
      <c r="B31" s="68">
        <v>44562</v>
      </c>
      <c r="C31" s="61" cm="1">
        <f t="array" ref="C31">SUM(SUMIFS('MAIN DATA, Orders'!$M:$M,'MAIN DATA, Orders'!$C:$C,"Germany",'MAIN DATA, Orders'!$N:$N,"Einzelplan 14",'MAIN DATA, Orders'!$G:$G,{"Missile (Land)","Missile (Air)","Missile (Naval)"},'MAIN DATA, Orders'!$Q:$Q,$A31)/1000000000)</f>
        <v>0</v>
      </c>
      <c r="D31" s="61" cm="1">
        <f t="array" ref="D31">SUM(SUMIFS('MAIN DATA, Orders'!$M:$M,'MAIN DATA, Orders'!$C:$C,"Germany",'MAIN DATA, Orders'!$N:$N,"Sondervermögen",'MAIN DATA, Orders'!$G:$G,{"Missile (Land)","Missile (Air)","Missile (Naval)"},'MAIN DATA, Orders'!$Q:$Q,$A31)/1000000000)</f>
        <v>0</v>
      </c>
      <c r="E31" s="61" cm="1">
        <f t="array" ref="E31">SUM(SUMIFS('MAIN DATA, Orders'!$M:$M,'MAIN DATA, Orders'!$C:$C,"Germany",'MAIN DATA, Orders'!$N:$N,"Einzelplan 60",'MAIN DATA, Orders'!$G:$G,{"Missile (Land)","Missile (Air)","Missile (Naval)"},'MAIN DATA, Orders'!$Q:$Q,$A31)/1000000000)</f>
        <v>0</v>
      </c>
    </row>
    <row r="32" spans="1:5">
      <c r="A32" s="72">
        <v>26</v>
      </c>
      <c r="B32" s="68">
        <v>44593</v>
      </c>
      <c r="C32" s="61" cm="1">
        <f t="array" ref="C32">SUM(SUMIFS('MAIN DATA, Orders'!$M:$M,'MAIN DATA, Orders'!$C:$C,"Germany",'MAIN DATA, Orders'!$N:$N,"Einzelplan 14",'MAIN DATA, Orders'!$G:$G,{"Missile (Land)","Missile (Air)","Missile (Naval)"},'MAIN DATA, Orders'!$Q:$Q,$A32)/1000000000)</f>
        <v>0</v>
      </c>
      <c r="D32" s="61" cm="1">
        <f t="array" ref="D32">SUM(SUMIFS('MAIN DATA, Orders'!$M:$M,'MAIN DATA, Orders'!$C:$C,"Germany",'MAIN DATA, Orders'!$N:$N,"Sondervermögen",'MAIN DATA, Orders'!$G:$G,{"Missile (Land)","Missile (Air)","Missile (Naval)"},'MAIN DATA, Orders'!$Q:$Q,$A32)/1000000000)</f>
        <v>0</v>
      </c>
      <c r="E32" s="61" cm="1">
        <f t="array" ref="E32">SUM(SUMIFS('MAIN DATA, Orders'!$M:$M,'MAIN DATA, Orders'!$C:$C,"Germany",'MAIN DATA, Orders'!$N:$N,"Einzelplan 60",'MAIN DATA, Orders'!$G:$G,{"Missile (Land)","Missile (Air)","Missile (Naval)"},'MAIN DATA, Orders'!$Q:$Q,$A32)/1000000000)</f>
        <v>0</v>
      </c>
    </row>
    <row r="33" spans="1:5">
      <c r="A33" s="72">
        <v>27</v>
      </c>
      <c r="B33" s="68">
        <v>44621</v>
      </c>
      <c r="C33" s="61" cm="1">
        <f t="array" ref="C33">SUM(SUMIFS('MAIN DATA, Orders'!$M:$M,'MAIN DATA, Orders'!$C:$C,"Germany",'MAIN DATA, Orders'!$N:$N,"Einzelplan 14",'MAIN DATA, Orders'!$G:$G,{"Missile (Land)","Missile (Air)","Missile (Naval)"},'MAIN DATA, Orders'!$Q:$Q,$A33)/1000000000)</f>
        <v>0</v>
      </c>
      <c r="D33" s="61" cm="1">
        <f t="array" ref="D33">SUM(SUMIFS('MAIN DATA, Orders'!$M:$M,'MAIN DATA, Orders'!$C:$C,"Germany",'MAIN DATA, Orders'!$N:$N,"Sondervermögen",'MAIN DATA, Orders'!$G:$G,{"Missile (Land)","Missile (Air)","Missile (Naval)"},'MAIN DATA, Orders'!$Q:$Q,$A33)/1000000000)</f>
        <v>0</v>
      </c>
      <c r="E33" s="61" cm="1">
        <f t="array" ref="E33">SUM(SUMIFS('MAIN DATA, Orders'!$M:$M,'MAIN DATA, Orders'!$C:$C,"Germany",'MAIN DATA, Orders'!$N:$N,"Einzelplan 60",'MAIN DATA, Orders'!$G:$G,{"Missile (Land)","Missile (Air)","Missile (Naval)"},'MAIN DATA, Orders'!$Q:$Q,$A33)/1000000000)</f>
        <v>0</v>
      </c>
    </row>
    <row r="34" spans="1:5">
      <c r="A34" s="72">
        <v>28</v>
      </c>
      <c r="B34" s="68">
        <v>44652</v>
      </c>
      <c r="C34" s="61" cm="1">
        <f t="array" ref="C34">SUM(SUMIFS('MAIN DATA, Orders'!$M:$M,'MAIN DATA, Orders'!$C:$C,"Germany",'MAIN DATA, Orders'!$N:$N,"Einzelplan 14",'MAIN DATA, Orders'!$G:$G,{"Missile (Land)","Missile (Air)","Missile (Naval)"},'MAIN DATA, Orders'!$Q:$Q,$A34)/1000000000)</f>
        <v>0.15</v>
      </c>
      <c r="D34" s="61" cm="1">
        <f t="array" ref="D34">SUM(SUMIFS('MAIN DATA, Orders'!$M:$M,'MAIN DATA, Orders'!$C:$C,"Germany",'MAIN DATA, Orders'!$N:$N,"Sondervermögen",'MAIN DATA, Orders'!$G:$G,{"Missile (Land)","Missile (Air)","Missile (Naval)"},'MAIN DATA, Orders'!$Q:$Q,$A34)/1000000000)</f>
        <v>0</v>
      </c>
      <c r="E34" s="61" cm="1">
        <f t="array" ref="E34">SUM(SUMIFS('MAIN DATA, Orders'!$M:$M,'MAIN DATA, Orders'!$C:$C,"Germany",'MAIN DATA, Orders'!$N:$N,"Einzelplan 60",'MAIN DATA, Orders'!$G:$G,{"Missile (Land)","Missile (Air)","Missile (Naval)"},'MAIN DATA, Orders'!$Q:$Q,$A34)/1000000000)</f>
        <v>0</v>
      </c>
    </row>
    <row r="35" spans="1:5">
      <c r="A35" s="72">
        <v>29</v>
      </c>
      <c r="B35" s="68">
        <v>44682</v>
      </c>
      <c r="C35" s="61" cm="1">
        <f t="array" ref="C35">SUM(SUMIFS('MAIN DATA, Orders'!$M:$M,'MAIN DATA, Orders'!$C:$C,"Germany",'MAIN DATA, Orders'!$N:$N,"Einzelplan 14",'MAIN DATA, Orders'!$G:$G,{"Missile (Land)","Missile (Air)","Missile (Naval)"},'MAIN DATA, Orders'!$Q:$Q,$A35)/1000000000)</f>
        <v>0</v>
      </c>
      <c r="D35" s="61" cm="1">
        <f t="array" ref="D35">SUM(SUMIFS('MAIN DATA, Orders'!$M:$M,'MAIN DATA, Orders'!$C:$C,"Germany",'MAIN DATA, Orders'!$N:$N,"Sondervermögen",'MAIN DATA, Orders'!$G:$G,{"Missile (Land)","Missile (Air)","Missile (Naval)"},'MAIN DATA, Orders'!$Q:$Q,$A35)/1000000000)</f>
        <v>0</v>
      </c>
      <c r="E35" s="61" cm="1">
        <f t="array" ref="E35">SUM(SUMIFS('MAIN DATA, Orders'!$M:$M,'MAIN DATA, Orders'!$C:$C,"Germany",'MAIN DATA, Orders'!$N:$N,"Einzelplan 60",'MAIN DATA, Orders'!$G:$G,{"Missile (Land)","Missile (Air)","Missile (Naval)"},'MAIN DATA, Orders'!$Q:$Q,$A35)/1000000000)</f>
        <v>0</v>
      </c>
    </row>
    <row r="36" spans="1:5">
      <c r="A36" s="72">
        <v>30</v>
      </c>
      <c r="B36" s="68">
        <v>44713</v>
      </c>
      <c r="C36" s="61" cm="1">
        <f t="array" ref="C36">SUM(SUMIFS('MAIN DATA, Orders'!$M:$M,'MAIN DATA, Orders'!$C:$C,"Germany",'MAIN DATA, Orders'!$N:$N,"Einzelplan 14",'MAIN DATA, Orders'!$G:$G,{"Missile (Land)","Missile (Air)","Missile (Naval)"},'MAIN DATA, Orders'!$Q:$Q,$A36)/1000000000)</f>
        <v>0</v>
      </c>
      <c r="D36" s="61" cm="1">
        <f t="array" ref="D36">SUM(SUMIFS('MAIN DATA, Orders'!$M:$M,'MAIN DATA, Orders'!$C:$C,"Germany",'MAIN DATA, Orders'!$N:$N,"Sondervermögen",'MAIN DATA, Orders'!$G:$G,{"Missile (Land)","Missile (Air)","Missile (Naval)"},'MAIN DATA, Orders'!$Q:$Q,$A36)/1000000000)</f>
        <v>0</v>
      </c>
      <c r="E36" s="61" cm="1">
        <f t="array" ref="E36">SUM(SUMIFS('MAIN DATA, Orders'!$M:$M,'MAIN DATA, Orders'!$C:$C,"Germany",'MAIN DATA, Orders'!$N:$N,"Einzelplan 60",'MAIN DATA, Orders'!$G:$G,{"Missile (Land)","Missile (Air)","Missile (Naval)"},'MAIN DATA, Orders'!$Q:$Q,$A36)/1000000000)</f>
        <v>0</v>
      </c>
    </row>
    <row r="37" spans="1:5">
      <c r="A37" s="72">
        <v>31</v>
      </c>
      <c r="B37" s="68">
        <v>44743</v>
      </c>
      <c r="C37" s="61" cm="1">
        <f t="array" ref="C37">SUM(SUMIFS('MAIN DATA, Orders'!$M:$M,'MAIN DATA, Orders'!$C:$C,"Germany",'MAIN DATA, Orders'!$N:$N,"Einzelplan 14",'MAIN DATA, Orders'!$G:$G,{"Missile (Land)","Missile (Air)","Missile (Naval)"},'MAIN DATA, Orders'!$Q:$Q,$A37)/1000000000)</f>
        <v>0</v>
      </c>
      <c r="D37" s="61" cm="1">
        <f t="array" ref="D37">SUM(SUMIFS('MAIN DATA, Orders'!$M:$M,'MAIN DATA, Orders'!$C:$C,"Germany",'MAIN DATA, Orders'!$N:$N,"Sondervermögen",'MAIN DATA, Orders'!$G:$G,{"Missile (Land)","Missile (Air)","Missile (Naval)"},'MAIN DATA, Orders'!$Q:$Q,$A37)/1000000000)</f>
        <v>0</v>
      </c>
      <c r="E37" s="61" cm="1">
        <f t="array" ref="E37">SUM(SUMIFS('MAIN DATA, Orders'!$M:$M,'MAIN DATA, Orders'!$C:$C,"Germany",'MAIN DATA, Orders'!$N:$N,"Einzelplan 60",'MAIN DATA, Orders'!$G:$G,{"Missile (Land)","Missile (Air)","Missile (Naval)"},'MAIN DATA, Orders'!$Q:$Q,$A37)/1000000000)</f>
        <v>0</v>
      </c>
    </row>
    <row r="38" spans="1:5">
      <c r="A38" s="72">
        <v>32</v>
      </c>
      <c r="B38" s="68">
        <v>44774</v>
      </c>
      <c r="C38" s="61" cm="1">
        <f t="array" ref="C38">SUM(SUMIFS('MAIN DATA, Orders'!$M:$M,'MAIN DATA, Orders'!$C:$C,"Germany",'MAIN DATA, Orders'!$N:$N,"Einzelplan 14",'MAIN DATA, Orders'!$G:$G,{"Missile (Land)","Missile (Air)","Missile (Naval)"},'MAIN DATA, Orders'!$Q:$Q,$A38)/1000000000)</f>
        <v>0</v>
      </c>
      <c r="D38" s="61" cm="1">
        <f t="array" ref="D38">SUM(SUMIFS('MAIN DATA, Orders'!$M:$M,'MAIN DATA, Orders'!$C:$C,"Germany",'MAIN DATA, Orders'!$N:$N,"Sondervermögen",'MAIN DATA, Orders'!$G:$G,{"Missile (Land)","Missile (Air)","Missile (Naval)"},'MAIN DATA, Orders'!$Q:$Q,$A38)/1000000000)</f>
        <v>0</v>
      </c>
      <c r="E38" s="61" cm="1">
        <f t="array" ref="E38">SUM(SUMIFS('MAIN DATA, Orders'!$M:$M,'MAIN DATA, Orders'!$C:$C,"Germany",'MAIN DATA, Orders'!$N:$N,"Einzelplan 60",'MAIN DATA, Orders'!$G:$G,{"Missile (Land)","Missile (Air)","Missile (Naval)"},'MAIN DATA, Orders'!$Q:$Q,$A38)/1000000000)</f>
        <v>0</v>
      </c>
    </row>
    <row r="39" spans="1:5">
      <c r="A39" s="72">
        <v>33</v>
      </c>
      <c r="B39" s="68">
        <v>44805</v>
      </c>
      <c r="C39" s="61" cm="1">
        <f t="array" ref="C39">SUM(SUMIFS('MAIN DATA, Orders'!$M:$M,'MAIN DATA, Orders'!$C:$C,"Germany",'MAIN DATA, Orders'!$N:$N,"Einzelplan 14",'MAIN DATA, Orders'!$G:$G,{"Missile (Land)","Missile (Air)","Missile (Naval)"},'MAIN DATA, Orders'!$Q:$Q,$A39)/1000000000)</f>
        <v>0.63700000000000001</v>
      </c>
      <c r="D39" s="61" cm="1">
        <f t="array" ref="D39">SUM(SUMIFS('MAIN DATA, Orders'!$M:$M,'MAIN DATA, Orders'!$C:$C,"Germany",'MAIN DATA, Orders'!$N:$N,"Sondervermögen",'MAIN DATA, Orders'!$G:$G,{"Missile (Land)","Missile (Air)","Missile (Naval)"},'MAIN DATA, Orders'!$Q:$Q,$A39)/1000000000)</f>
        <v>0</v>
      </c>
      <c r="E39" s="61" cm="1">
        <f t="array" ref="E39">SUM(SUMIFS('MAIN DATA, Orders'!$M:$M,'MAIN DATA, Orders'!$C:$C,"Germany",'MAIN DATA, Orders'!$N:$N,"Einzelplan 60",'MAIN DATA, Orders'!$G:$G,{"Missile (Land)","Missile (Air)","Missile (Naval)"},'MAIN DATA, Orders'!$Q:$Q,$A39)/1000000000)</f>
        <v>0</v>
      </c>
    </row>
    <row r="40" spans="1:5">
      <c r="A40" s="72">
        <v>34</v>
      </c>
      <c r="B40" s="68">
        <v>44835</v>
      </c>
      <c r="C40" s="61" cm="1">
        <f t="array" ref="C40">SUM(SUMIFS('MAIN DATA, Orders'!$M:$M,'MAIN DATA, Orders'!$C:$C,"Germany",'MAIN DATA, Orders'!$N:$N,"Einzelplan 14",'MAIN DATA, Orders'!$G:$G,{"Missile (Land)","Missile (Air)","Missile (Naval)"},'MAIN DATA, Orders'!$Q:$Q,$A40)/1000000000)</f>
        <v>0</v>
      </c>
      <c r="D40" s="61" cm="1">
        <f t="array" ref="D40">SUM(SUMIFS('MAIN DATA, Orders'!$M:$M,'MAIN DATA, Orders'!$C:$C,"Germany",'MAIN DATA, Orders'!$N:$N,"Sondervermögen",'MAIN DATA, Orders'!$G:$G,{"Missile (Land)","Missile (Air)","Missile (Naval)"},'MAIN DATA, Orders'!$Q:$Q,$A40)/1000000000)</f>
        <v>0</v>
      </c>
      <c r="E40" s="61" cm="1">
        <f t="array" ref="E40">SUM(SUMIFS('MAIN DATA, Orders'!$M:$M,'MAIN DATA, Orders'!$C:$C,"Germany",'MAIN DATA, Orders'!$N:$N,"Einzelplan 60",'MAIN DATA, Orders'!$G:$G,{"Missile (Land)","Missile (Air)","Missile (Naval)"},'MAIN DATA, Orders'!$Q:$Q,$A40)/1000000000)</f>
        <v>0</v>
      </c>
    </row>
    <row r="41" spans="1:5">
      <c r="A41" s="72">
        <v>35</v>
      </c>
      <c r="B41" s="68">
        <v>44866</v>
      </c>
      <c r="C41" s="61" cm="1">
        <f t="array" ref="C41">SUM(SUMIFS('MAIN DATA, Orders'!$M:$M,'MAIN DATA, Orders'!$C:$C,"Germany",'MAIN DATA, Orders'!$N:$N,"Einzelplan 14",'MAIN DATA, Orders'!$G:$G,{"Missile (Land)","Missile (Air)","Missile (Naval)"},'MAIN DATA, Orders'!$Q:$Q,$A41)/1000000000)</f>
        <v>0</v>
      </c>
      <c r="D41" s="61" cm="1">
        <f t="array" ref="D41">SUM(SUMIFS('MAIN DATA, Orders'!$M:$M,'MAIN DATA, Orders'!$C:$C,"Germany",'MAIN DATA, Orders'!$N:$N,"Sondervermögen",'MAIN DATA, Orders'!$G:$G,{"Missile (Land)","Missile (Air)","Missile (Naval)"},'MAIN DATA, Orders'!$Q:$Q,$A41)/1000000000)</f>
        <v>0</v>
      </c>
      <c r="E41" s="61" cm="1">
        <f t="array" ref="E41">SUM(SUMIFS('MAIN DATA, Orders'!$M:$M,'MAIN DATA, Orders'!$C:$C,"Germany",'MAIN DATA, Orders'!$N:$N,"Einzelplan 60",'MAIN DATA, Orders'!$G:$G,{"Missile (Land)","Missile (Air)","Missile (Naval)"},'MAIN DATA, Orders'!$Q:$Q,$A41)/1000000000)</f>
        <v>0</v>
      </c>
    </row>
    <row r="42" spans="1:5">
      <c r="A42" s="72">
        <v>36</v>
      </c>
      <c r="B42" s="68">
        <v>44896</v>
      </c>
      <c r="C42" s="61" cm="1">
        <f t="array" ref="C42">SUM(SUMIFS('MAIN DATA, Orders'!$M:$M,'MAIN DATA, Orders'!$C:$C,"Germany",'MAIN DATA, Orders'!$N:$N,"Einzelplan 14",'MAIN DATA, Orders'!$G:$G,{"Missile (Land)","Missile (Air)","Missile (Naval)"},'MAIN DATA, Orders'!$Q:$Q,$A42)/1000000000)</f>
        <v>0</v>
      </c>
      <c r="D42" s="61" cm="1">
        <f t="array" ref="D42">SUM(SUMIFS('MAIN DATA, Orders'!$M:$M,'MAIN DATA, Orders'!$C:$C,"Germany",'MAIN DATA, Orders'!$N:$N,"Sondervermögen",'MAIN DATA, Orders'!$G:$G,{"Missile (Land)","Missile (Air)","Missile (Naval)"},'MAIN DATA, Orders'!$Q:$Q,$A42)/1000000000)</f>
        <v>0</v>
      </c>
      <c r="E42" s="61" cm="1">
        <f t="array" ref="E42">SUM(SUMIFS('MAIN DATA, Orders'!$M:$M,'MAIN DATA, Orders'!$C:$C,"Germany",'MAIN DATA, Orders'!$N:$N,"Einzelplan 60",'MAIN DATA, Orders'!$G:$G,{"Missile (Land)","Missile (Air)","Missile (Naval)"},'MAIN DATA, Orders'!$Q:$Q,$A42)/1000000000)</f>
        <v>0</v>
      </c>
    </row>
    <row r="43" spans="1:5">
      <c r="A43" s="72">
        <v>37</v>
      </c>
      <c r="B43" s="68">
        <v>44927</v>
      </c>
      <c r="C43" s="61" cm="1">
        <f t="array" ref="C43">SUM(SUMIFS('MAIN DATA, Orders'!$M:$M,'MAIN DATA, Orders'!$C:$C,"Germany",'MAIN DATA, Orders'!$N:$N,"Einzelplan 14",'MAIN DATA, Orders'!$G:$G,{"Missile (Land)","Missile (Air)","Missile (Naval)"},'MAIN DATA, Orders'!$Q:$Q,$A43)/1000000000)</f>
        <v>0</v>
      </c>
      <c r="D43" s="61" cm="1">
        <f t="array" ref="D43">SUM(SUMIFS('MAIN DATA, Orders'!$M:$M,'MAIN DATA, Orders'!$C:$C,"Germany",'MAIN DATA, Orders'!$N:$N,"Sondervermögen",'MAIN DATA, Orders'!$G:$G,{"Missile (Land)","Missile (Air)","Missile (Naval)"},'MAIN DATA, Orders'!$Q:$Q,$A43)/1000000000)</f>
        <v>0</v>
      </c>
      <c r="E43" s="61" cm="1">
        <f t="array" ref="E43">SUM(SUMIFS('MAIN DATA, Orders'!$M:$M,'MAIN DATA, Orders'!$C:$C,"Germany",'MAIN DATA, Orders'!$N:$N,"Einzelplan 60",'MAIN DATA, Orders'!$G:$G,{"Missile (Land)","Missile (Air)","Missile (Naval)"},'MAIN DATA, Orders'!$Q:$Q,$A43)/1000000000)</f>
        <v>0</v>
      </c>
    </row>
    <row r="44" spans="1:5">
      <c r="A44" s="72">
        <v>38</v>
      </c>
      <c r="B44" s="68">
        <v>44958</v>
      </c>
      <c r="C44" s="61" cm="1">
        <f t="array" ref="C44">SUM(SUMIFS('MAIN DATA, Orders'!$M:$M,'MAIN DATA, Orders'!$C:$C,"Germany",'MAIN DATA, Orders'!$N:$N,"Einzelplan 14",'MAIN DATA, Orders'!$G:$G,{"Missile (Land)","Missile (Air)","Missile (Naval)"},'MAIN DATA, Orders'!$Q:$Q,$A44)/1000000000)</f>
        <v>0</v>
      </c>
      <c r="D44" s="61" cm="1">
        <f t="array" ref="D44">SUM(SUMIFS('MAIN DATA, Orders'!$M:$M,'MAIN DATA, Orders'!$C:$C,"Germany",'MAIN DATA, Orders'!$N:$N,"Sondervermögen",'MAIN DATA, Orders'!$G:$G,{"Missile (Land)","Missile (Air)","Missile (Naval)"},'MAIN DATA, Orders'!$Q:$Q,$A44)/1000000000)</f>
        <v>0</v>
      </c>
      <c r="E44" s="61" cm="1">
        <f t="array" ref="E44">SUM(SUMIFS('MAIN DATA, Orders'!$M:$M,'MAIN DATA, Orders'!$C:$C,"Germany",'MAIN DATA, Orders'!$N:$N,"Einzelplan 60",'MAIN DATA, Orders'!$G:$G,{"Missile (Land)","Missile (Air)","Missile (Naval)"},'MAIN DATA, Orders'!$Q:$Q,$A44)/1000000000)</f>
        <v>0</v>
      </c>
    </row>
    <row r="45" spans="1:5">
      <c r="A45" s="72">
        <v>39</v>
      </c>
      <c r="B45" s="68">
        <v>44986</v>
      </c>
      <c r="C45" s="61" cm="1">
        <f t="array" ref="C45">SUM(SUMIFS('MAIN DATA, Orders'!$M:$M,'MAIN DATA, Orders'!$C:$C,"Germany",'MAIN DATA, Orders'!$N:$N,"Einzelplan 14",'MAIN DATA, Orders'!$G:$G,{"Missile (Land)","Missile (Air)","Missile (Naval)"},'MAIN DATA, Orders'!$Q:$Q,$A45)/1000000000)</f>
        <v>0</v>
      </c>
      <c r="D45" s="61" cm="1">
        <f t="array" ref="D45">SUM(SUMIFS('MAIN DATA, Orders'!$M:$M,'MAIN DATA, Orders'!$C:$C,"Germany",'MAIN DATA, Orders'!$N:$N,"Sondervermögen",'MAIN DATA, Orders'!$G:$G,{"Missile (Land)","Missile (Air)","Missile (Naval)"},'MAIN DATA, Orders'!$Q:$Q,$A45)/1000000000)</f>
        <v>0</v>
      </c>
      <c r="E45" s="61" cm="1">
        <f t="array" ref="E45">SUM(SUMIFS('MAIN DATA, Orders'!$M:$M,'MAIN DATA, Orders'!$C:$C,"Germany",'MAIN DATA, Orders'!$N:$N,"Einzelplan 60",'MAIN DATA, Orders'!$G:$G,{"Missile (Land)","Missile (Air)","Missile (Naval)"},'MAIN DATA, Orders'!$Q:$Q,$A45)/1000000000)</f>
        <v>0</v>
      </c>
    </row>
    <row r="46" spans="1:5">
      <c r="A46" s="72">
        <v>40</v>
      </c>
      <c r="B46" s="68">
        <v>45017</v>
      </c>
      <c r="C46" s="61" cm="1">
        <f t="array" ref="C46">SUM(SUMIFS('MAIN DATA, Orders'!$M:$M,'MAIN DATA, Orders'!$C:$C,"Germany",'MAIN DATA, Orders'!$N:$N,"Einzelplan 14",'MAIN DATA, Orders'!$G:$G,{"Missile (Land)","Missile (Air)","Missile (Naval)"},'MAIN DATA, Orders'!$Q:$Q,$A46)/1000000000)</f>
        <v>0.26900000000000002</v>
      </c>
      <c r="D46" s="61" cm="1">
        <f t="array" ref="D46">SUM(SUMIFS('MAIN DATA, Orders'!$M:$M,'MAIN DATA, Orders'!$C:$C,"Germany",'MAIN DATA, Orders'!$N:$N,"Sondervermögen",'MAIN DATA, Orders'!$G:$G,{"Missile (Land)","Missile (Air)","Missile (Naval)"},'MAIN DATA, Orders'!$Q:$Q,$A46)/1000000000)</f>
        <v>0</v>
      </c>
      <c r="E46" s="61" cm="1">
        <f t="array" ref="E46">SUM(SUMIFS('MAIN DATA, Orders'!$M:$M,'MAIN DATA, Orders'!$C:$C,"Germany",'MAIN DATA, Orders'!$N:$N,"Einzelplan 60",'MAIN DATA, Orders'!$G:$G,{"Missile (Land)","Missile (Air)","Missile (Naval)"},'MAIN DATA, Orders'!$Q:$Q,$A46)/1000000000)</f>
        <v>0</v>
      </c>
    </row>
    <row r="47" spans="1:5">
      <c r="A47" s="72">
        <v>41</v>
      </c>
      <c r="B47" s="68">
        <v>45047</v>
      </c>
      <c r="C47" s="61" cm="1">
        <f t="array" ref="C47">SUM(SUMIFS('MAIN DATA, Orders'!$M:$M,'MAIN DATA, Orders'!$C:$C,"Germany",'MAIN DATA, Orders'!$N:$N,"Einzelplan 14",'MAIN DATA, Orders'!$G:$G,{"Missile (Land)","Missile (Air)","Missile (Naval)"},'MAIN DATA, Orders'!$Q:$Q,$A47)/1000000000)</f>
        <v>0</v>
      </c>
      <c r="D47" s="61" cm="1">
        <f t="array" ref="D47">SUM(SUMIFS('MAIN DATA, Orders'!$M:$M,'MAIN DATA, Orders'!$C:$C,"Germany",'MAIN DATA, Orders'!$N:$N,"Sondervermögen",'MAIN DATA, Orders'!$G:$G,{"Missile (Land)","Missile (Air)","Missile (Naval)"},'MAIN DATA, Orders'!$Q:$Q,$A47)/1000000000)</f>
        <v>0</v>
      </c>
      <c r="E47" s="61" cm="1">
        <f t="array" ref="E47">SUM(SUMIFS('MAIN DATA, Orders'!$M:$M,'MAIN DATA, Orders'!$C:$C,"Germany",'MAIN DATA, Orders'!$N:$N,"Einzelplan 60",'MAIN DATA, Orders'!$G:$G,{"Missile (Land)","Missile (Air)","Missile (Naval)"},'MAIN DATA, Orders'!$Q:$Q,$A47)/1000000000)</f>
        <v>0</v>
      </c>
    </row>
    <row r="48" spans="1:5">
      <c r="A48" s="72">
        <v>42</v>
      </c>
      <c r="B48" s="68">
        <v>45078</v>
      </c>
      <c r="C48" s="61" cm="1">
        <f t="array" ref="C48">SUM(SUMIFS('MAIN DATA, Orders'!$M:$M,'MAIN DATA, Orders'!$C:$C,"Germany",'MAIN DATA, Orders'!$N:$N,"Einzelplan 14",'MAIN DATA, Orders'!$G:$G,{"Missile (Land)","Missile (Air)","Missile (Naval)"},'MAIN DATA, Orders'!$Q:$Q,$A48)/1000000000)</f>
        <v>0</v>
      </c>
      <c r="D48" s="61" cm="1">
        <f t="array" ref="D48">SUM(SUMIFS('MAIN DATA, Orders'!$M:$M,'MAIN DATA, Orders'!$C:$C,"Germany",'MAIN DATA, Orders'!$N:$N,"Sondervermögen",'MAIN DATA, Orders'!$G:$G,{"Missile (Land)","Missile (Air)","Missile (Naval)"},'MAIN DATA, Orders'!$Q:$Q,$A48)/1000000000)</f>
        <v>0</v>
      </c>
      <c r="E48" s="61" cm="1">
        <f t="array" ref="E48">SUM(SUMIFS('MAIN DATA, Orders'!$M:$M,'MAIN DATA, Orders'!$C:$C,"Germany",'MAIN DATA, Orders'!$N:$N,"Einzelplan 60",'MAIN DATA, Orders'!$G:$G,{"Missile (Land)","Missile (Air)","Missile (Naval)"},'MAIN DATA, Orders'!$Q:$Q,$A48)/1000000000)</f>
        <v>0</v>
      </c>
    </row>
    <row r="49" spans="1:5">
      <c r="A49" s="72">
        <v>43</v>
      </c>
      <c r="B49" s="68">
        <v>45108</v>
      </c>
      <c r="C49" s="61" cm="1">
        <f t="array" ref="C49">SUM(SUMIFS('MAIN DATA, Orders'!$M:$M,'MAIN DATA, Orders'!$C:$C,"Germany",'MAIN DATA, Orders'!$N:$N,"Einzelplan 14",'MAIN DATA, Orders'!$G:$G,{"Missile (Land)","Missile (Air)","Missile (Naval)"},'MAIN DATA, Orders'!$Q:$Q,$A49)/1000000000)</f>
        <v>0</v>
      </c>
      <c r="D49" s="61" cm="1">
        <f t="array" ref="D49">SUM(SUMIFS('MAIN DATA, Orders'!$M:$M,'MAIN DATA, Orders'!$C:$C,"Germany",'MAIN DATA, Orders'!$N:$N,"Sondervermögen",'MAIN DATA, Orders'!$G:$G,{"Missile (Land)","Missile (Air)","Missile (Naval)"},'MAIN DATA, Orders'!$Q:$Q,$A49)/1000000000)</f>
        <v>0</v>
      </c>
      <c r="E49" s="61" cm="1">
        <f t="array" ref="E49">SUM(SUMIFS('MAIN DATA, Orders'!$M:$M,'MAIN DATA, Orders'!$C:$C,"Germany",'MAIN DATA, Orders'!$N:$N,"Einzelplan 60",'MAIN DATA, Orders'!$G:$G,{"Missile (Land)","Missile (Air)","Missile (Naval)"},'MAIN DATA, Orders'!$Q:$Q,$A49)/1000000000)</f>
        <v>0</v>
      </c>
    </row>
    <row r="50" spans="1:5">
      <c r="A50" s="72">
        <v>44</v>
      </c>
      <c r="B50" s="68">
        <v>45139</v>
      </c>
      <c r="C50" s="61" cm="1">
        <f t="array" ref="C50">SUM(SUMIFS('MAIN DATA, Orders'!$M:$M,'MAIN DATA, Orders'!$C:$C,"Germany",'MAIN DATA, Orders'!$N:$N,"Einzelplan 14",'MAIN DATA, Orders'!$G:$G,{"Missile (Land)","Missile (Air)","Missile (Naval)"},'MAIN DATA, Orders'!$Q:$Q,$A50)/1000000000)</f>
        <v>0</v>
      </c>
      <c r="D50" s="61" cm="1">
        <f t="array" ref="D50">SUM(SUMIFS('MAIN DATA, Orders'!$M:$M,'MAIN DATA, Orders'!$C:$C,"Germany",'MAIN DATA, Orders'!$N:$N,"Sondervermögen",'MAIN DATA, Orders'!$G:$G,{"Missile (Land)","Missile (Air)","Missile (Naval)"},'MAIN DATA, Orders'!$Q:$Q,$A50)/1000000000)</f>
        <v>0</v>
      </c>
      <c r="E50" s="61" cm="1">
        <f t="array" ref="E50">SUM(SUMIFS('MAIN DATA, Orders'!$M:$M,'MAIN DATA, Orders'!$C:$C,"Germany",'MAIN DATA, Orders'!$N:$N,"Einzelplan 60",'MAIN DATA, Orders'!$G:$G,{"Missile (Land)","Missile (Air)","Missile (Naval)"},'MAIN DATA, Orders'!$Q:$Q,$A50)/1000000000)</f>
        <v>0</v>
      </c>
    </row>
    <row r="51" spans="1:5">
      <c r="A51" s="72">
        <v>45</v>
      </c>
      <c r="B51" s="68">
        <v>45170</v>
      </c>
      <c r="C51" s="61" cm="1">
        <f t="array" ref="C51">SUM(SUMIFS('MAIN DATA, Orders'!$M:$M,'MAIN DATA, Orders'!$C:$C,"Germany",'MAIN DATA, Orders'!$N:$N,"Einzelplan 14",'MAIN DATA, Orders'!$G:$G,{"Missile (Land)","Missile (Air)","Missile (Naval)"},'MAIN DATA, Orders'!$Q:$Q,$A51)/1000000000)</f>
        <v>0</v>
      </c>
      <c r="D51" s="61" cm="1">
        <f t="array" ref="D51">SUM(SUMIFS('MAIN DATA, Orders'!$M:$M,'MAIN DATA, Orders'!$C:$C,"Germany",'MAIN DATA, Orders'!$N:$N,"Sondervermögen",'MAIN DATA, Orders'!$G:$G,{"Missile (Land)","Missile (Air)","Missile (Naval)"},'MAIN DATA, Orders'!$Q:$Q,$A51)/1000000000)</f>
        <v>0</v>
      </c>
      <c r="E51" s="61" cm="1">
        <f t="array" ref="E51">SUM(SUMIFS('MAIN DATA, Orders'!$M:$M,'MAIN DATA, Orders'!$C:$C,"Germany",'MAIN DATA, Orders'!$N:$N,"Einzelplan 60",'MAIN DATA, Orders'!$G:$G,{"Missile (Land)","Missile (Air)","Missile (Naval)"},'MAIN DATA, Orders'!$Q:$Q,$A51)/1000000000)</f>
        <v>0</v>
      </c>
    </row>
    <row r="52" spans="1:5">
      <c r="A52" s="72">
        <v>46</v>
      </c>
      <c r="B52" s="68">
        <v>45200</v>
      </c>
      <c r="C52" s="61" cm="1">
        <f t="array" ref="C52">SUM(SUMIFS('MAIN DATA, Orders'!$M:$M,'MAIN DATA, Orders'!$C:$C,"Germany",'MAIN DATA, Orders'!$N:$N,"Einzelplan 14",'MAIN DATA, Orders'!$G:$G,{"Missile (Land)","Missile (Air)","Missile (Naval)"},'MAIN DATA, Orders'!$Q:$Q,$A52)/1000000000)</f>
        <v>0</v>
      </c>
      <c r="D52" s="61" cm="1">
        <f t="array" ref="D52">SUM(SUMIFS('MAIN DATA, Orders'!$M:$M,'MAIN DATA, Orders'!$C:$C,"Germany",'MAIN DATA, Orders'!$N:$N,"Sondervermögen",'MAIN DATA, Orders'!$G:$G,{"Missile (Land)","Missile (Air)","Missile (Naval)"},'MAIN DATA, Orders'!$Q:$Q,$A52)/1000000000)</f>
        <v>0</v>
      </c>
      <c r="E52" s="61" cm="1">
        <f t="array" ref="E52">SUM(SUMIFS('MAIN DATA, Orders'!$M:$M,'MAIN DATA, Orders'!$C:$C,"Germany",'MAIN DATA, Orders'!$N:$N,"Einzelplan 60",'MAIN DATA, Orders'!$G:$G,{"Missile (Land)","Missile (Air)","Missile (Naval)"},'MAIN DATA, Orders'!$Q:$Q,$A52)/1000000000)</f>
        <v>0</v>
      </c>
    </row>
    <row r="53" spans="1:5">
      <c r="A53" s="72">
        <v>47</v>
      </c>
      <c r="B53" s="68">
        <v>45231</v>
      </c>
      <c r="C53" s="61" cm="1">
        <f t="array" ref="C53">SUM(SUMIFS('MAIN DATA, Orders'!$M:$M,'MAIN DATA, Orders'!$C:$C,"Germany",'MAIN DATA, Orders'!$N:$N,"Einzelplan 14",'MAIN DATA, Orders'!$G:$G,{"Missile (Land)","Missile (Air)","Missile (Naval)"},'MAIN DATA, Orders'!$Q:$Q,$A53)/1000000000)</f>
        <v>0</v>
      </c>
      <c r="D53" s="61" cm="1">
        <f t="array" ref="D53">SUM(SUMIFS('MAIN DATA, Orders'!$M:$M,'MAIN DATA, Orders'!$C:$C,"Germany",'MAIN DATA, Orders'!$N:$N,"Sondervermögen",'MAIN DATA, Orders'!$G:$G,{"Missile (Land)","Missile (Air)","Missile (Naval)"},'MAIN DATA, Orders'!$Q:$Q,$A53)/1000000000)</f>
        <v>0</v>
      </c>
      <c r="E53" s="61" cm="1">
        <f t="array" ref="E53">SUM(SUMIFS('MAIN DATA, Orders'!$M:$M,'MAIN DATA, Orders'!$C:$C,"Germany",'MAIN DATA, Orders'!$N:$N,"Einzelplan 60",'MAIN DATA, Orders'!$G:$G,{"Missile (Land)","Missile (Air)","Missile (Naval)"},'MAIN DATA, Orders'!$Q:$Q,$A53)/1000000000)</f>
        <v>0</v>
      </c>
    </row>
    <row r="54" spans="1:5">
      <c r="A54" s="72">
        <v>48</v>
      </c>
      <c r="B54" s="68">
        <v>45261</v>
      </c>
      <c r="C54" s="61" cm="1">
        <f t="array" ref="C54">SUM(SUMIFS('MAIN DATA, Orders'!$M:$M,'MAIN DATA, Orders'!$C:$C,"Germany",'MAIN DATA, Orders'!$N:$N,"Einzelplan 14",'MAIN DATA, Orders'!$G:$G,{"Missile (Land)","Missile (Air)","Missile (Naval)"},'MAIN DATA, Orders'!$Q:$Q,$A54)/1000000000)</f>
        <v>0</v>
      </c>
      <c r="D54" s="61" cm="1">
        <f t="array" ref="D54">SUM(SUMIFS('MAIN DATA, Orders'!$M:$M,'MAIN DATA, Orders'!$C:$C,"Germany",'MAIN DATA, Orders'!$N:$N,"Sondervermögen",'MAIN DATA, Orders'!$G:$G,{"Missile (Land)","Missile (Air)","Missile (Naval)"},'MAIN DATA, Orders'!$Q:$Q,$A54)/1000000000)</f>
        <v>2.4</v>
      </c>
      <c r="E54" s="61" cm="1">
        <f t="array" ref="E54">SUM(SUMIFS('MAIN DATA, Orders'!$M:$M,'MAIN DATA, Orders'!$C:$C,"Germany",'MAIN DATA, Orders'!$N:$N,"Einzelplan 60",'MAIN DATA, Orders'!$G:$G,{"Missile (Land)","Missile (Air)","Missile (Naval)"},'MAIN DATA, Orders'!$Q:$Q,$A54)/1000000000)</f>
        <v>0.71</v>
      </c>
    </row>
    <row r="55" spans="1:5">
      <c r="A55" s="72">
        <v>49</v>
      </c>
      <c r="B55" s="68">
        <v>45292</v>
      </c>
      <c r="C55" s="61" cm="1">
        <f t="array" ref="C55">SUM(SUMIFS('MAIN DATA, Orders'!$M:$M,'MAIN DATA, Orders'!$C:$C,"Germany",'MAIN DATA, Orders'!$N:$N,"Einzelplan 14",'MAIN DATA, Orders'!$G:$G,{"Missile (Land)","Missile (Air)","Missile (Naval)"},'MAIN DATA, Orders'!$Q:$Q,$A55)/1000000000)</f>
        <v>0</v>
      </c>
      <c r="D55" s="61" cm="1">
        <f t="array" ref="D55">SUM(SUMIFS('MAIN DATA, Orders'!$M:$M,'MAIN DATA, Orders'!$C:$C,"Germany",'MAIN DATA, Orders'!$N:$N,"Sondervermögen",'MAIN DATA, Orders'!$G:$G,{"Missile (Land)","Missile (Air)","Missile (Naval)"},'MAIN DATA, Orders'!$Q:$Q,$A55)/1000000000)</f>
        <v>0</v>
      </c>
      <c r="E55" s="61" cm="1">
        <f t="array" ref="E55">SUM(SUMIFS('MAIN DATA, Orders'!$M:$M,'MAIN DATA, Orders'!$C:$C,"Germany",'MAIN DATA, Orders'!$N:$N,"Einzelplan 60",'MAIN DATA, Orders'!$G:$G,{"Missile (Land)","Missile (Air)","Missile (Naval)"},'MAIN DATA, Orders'!$Q:$Q,$A55)/1000000000)</f>
        <v>0</v>
      </c>
    </row>
    <row r="56" spans="1:5">
      <c r="A56" s="72">
        <v>50</v>
      </c>
      <c r="B56" s="68">
        <v>45323</v>
      </c>
      <c r="C56" s="61" cm="1">
        <f t="array" ref="C56">SUM(SUMIFS('MAIN DATA, Orders'!$M:$M,'MAIN DATA, Orders'!$C:$C,"Germany",'MAIN DATA, Orders'!$N:$N,"Einzelplan 14",'MAIN DATA, Orders'!$G:$G,{"Missile (Land)","Missile (Air)","Missile (Naval)"},'MAIN DATA, Orders'!$Q:$Q,$A56)/1000000000)</f>
        <v>0</v>
      </c>
      <c r="D56" s="61" cm="1">
        <f t="array" ref="D56">SUM(SUMIFS('MAIN DATA, Orders'!$M:$M,'MAIN DATA, Orders'!$C:$C,"Germany",'MAIN DATA, Orders'!$N:$N,"Sondervermögen",'MAIN DATA, Orders'!$G:$G,{"Missile (Land)","Missile (Air)","Missile (Naval)"},'MAIN DATA, Orders'!$Q:$Q,$A56)/1000000000)</f>
        <v>0</v>
      </c>
      <c r="E56" s="61" cm="1">
        <f t="array" ref="E56">SUM(SUMIFS('MAIN DATA, Orders'!$M:$M,'MAIN DATA, Orders'!$C:$C,"Germany",'MAIN DATA, Orders'!$N:$N,"Einzelplan 60",'MAIN DATA, Orders'!$G:$G,{"Missile (Land)","Missile (Air)","Missile (Naval)"},'MAIN DATA, Orders'!$Q:$Q,$A56)/1000000000)</f>
        <v>0</v>
      </c>
    </row>
    <row r="57" spans="1:5">
      <c r="A57" s="72">
        <v>51</v>
      </c>
      <c r="B57" s="68">
        <v>45352</v>
      </c>
      <c r="C57" s="61" cm="1">
        <f t="array" ref="C57">SUM(SUMIFS('MAIN DATA, Orders'!$M:$M,'MAIN DATA, Orders'!$C:$C,"Germany",'MAIN DATA, Orders'!$N:$N,"Einzelplan 14",'MAIN DATA, Orders'!$G:$G,{"Missile (Land)","Missile (Air)","Missile (Naval)"},'MAIN DATA, Orders'!$Q:$Q,$A57)/1000000000)</f>
        <v>0</v>
      </c>
      <c r="D57" s="61" cm="1">
        <f t="array" ref="D57">SUM(SUMIFS('MAIN DATA, Orders'!$M:$M,'MAIN DATA, Orders'!$C:$C,"Germany",'MAIN DATA, Orders'!$N:$N,"Sondervermögen",'MAIN DATA, Orders'!$G:$G,{"Missile (Land)","Missile (Air)","Missile (Naval)"},'MAIN DATA, Orders'!$Q:$Q,$A57)/1000000000)</f>
        <v>0</v>
      </c>
      <c r="E57" s="61" cm="1">
        <f t="array" ref="E57">SUM(SUMIFS('MAIN DATA, Orders'!$M:$M,'MAIN DATA, Orders'!$C:$C,"Germany",'MAIN DATA, Orders'!$N:$N,"Einzelplan 60",'MAIN DATA, Orders'!$G:$G,{"Missile (Land)","Missile (Air)","Missile (Naval)"},'MAIN DATA, Orders'!$Q:$Q,$A57)/1000000000)</f>
        <v>0</v>
      </c>
    </row>
    <row r="58" spans="1:5">
      <c r="A58" s="72">
        <v>52</v>
      </c>
      <c r="B58" s="68">
        <v>45383</v>
      </c>
      <c r="C58" s="61" cm="1">
        <f t="array" ref="C58">SUM(SUMIFS('MAIN DATA, Orders'!$M:$M,'MAIN DATA, Orders'!$C:$C,"Germany",'MAIN DATA, Orders'!$N:$N,"Einzelplan 14",'MAIN DATA, Orders'!$G:$G,{"Missile (Land)","Missile (Air)","Missile (Naval)"},'MAIN DATA, Orders'!$Q:$Q,$A58)/1000000000)</f>
        <v>0</v>
      </c>
      <c r="D58" s="61" cm="1">
        <f t="array" ref="D58">SUM(SUMIFS('MAIN DATA, Orders'!$M:$M,'MAIN DATA, Orders'!$C:$C,"Germany",'MAIN DATA, Orders'!$N:$N,"Sondervermögen",'MAIN DATA, Orders'!$G:$G,{"Missile (Land)","Missile (Air)","Missile (Naval)"},'MAIN DATA, Orders'!$Q:$Q,$A58)/1000000000)</f>
        <v>0</v>
      </c>
      <c r="E58" s="61" cm="1">
        <f t="array" ref="E58">SUM(SUMIFS('MAIN DATA, Orders'!$M:$M,'MAIN DATA, Orders'!$C:$C,"Germany",'MAIN DATA, Orders'!$N:$N,"Einzelplan 60",'MAIN DATA, Orders'!$G:$G,{"Missile (Land)","Missile (Air)","Missile (Naval)"},'MAIN DATA, Orders'!$Q:$Q,$A58)/1000000000)</f>
        <v>0</v>
      </c>
    </row>
    <row r="59" spans="1:5">
      <c r="A59" s="72">
        <v>53</v>
      </c>
      <c r="B59" s="68">
        <v>45413</v>
      </c>
      <c r="C59" s="61" cm="1">
        <f t="array" ref="C59">SUM(SUMIFS('MAIN DATA, Orders'!$M:$M,'MAIN DATA, Orders'!$C:$C,"Germany",'MAIN DATA, Orders'!$N:$N,"Einzelplan 14",'MAIN DATA, Orders'!$G:$G,{"Missile (Land)","Missile (Air)","Missile (Naval)"},'MAIN DATA, Orders'!$Q:$Q,$A59)/1000000000)</f>
        <v>0.17799999999999999</v>
      </c>
      <c r="D59" s="61" cm="1">
        <f t="array" ref="D59">SUM(SUMIFS('MAIN DATA, Orders'!$M:$M,'MAIN DATA, Orders'!$C:$C,"Germany",'MAIN DATA, Orders'!$N:$N,"Sondervermögen",'MAIN DATA, Orders'!$G:$G,{"Missile (Land)","Missile (Air)","Missile (Naval)"},'MAIN DATA, Orders'!$Q:$Q,$A59)/1000000000)</f>
        <v>0</v>
      </c>
      <c r="E59" s="61" cm="1">
        <f t="array" ref="E59">SUM(SUMIFS('MAIN DATA, Orders'!$M:$M,'MAIN DATA, Orders'!$C:$C,"Germany",'MAIN DATA, Orders'!$N:$N,"Einzelplan 60",'MAIN DATA, Orders'!$G:$G,{"Missile (Land)","Missile (Air)","Missile (Naval)"},'MAIN DATA, Orders'!$Q:$Q,$A59)/1000000000)</f>
        <v>0</v>
      </c>
    </row>
    <row r="60" spans="1:5">
      <c r="A60" s="72">
        <v>54</v>
      </c>
      <c r="B60" s="68">
        <v>45444</v>
      </c>
      <c r="C60" s="61" cm="1">
        <f t="array" ref="C60">SUM(SUMIFS('MAIN DATA, Orders'!$M:$M,'MAIN DATA, Orders'!$C:$C,"Germany",'MAIN DATA, Orders'!$N:$N,"Einzelplan 14",'MAIN DATA, Orders'!$G:$G,{"Missile (Land)","Missile (Air)","Missile (Naval)"},'MAIN DATA, Orders'!$Q:$Q,$A60)/1000000000)</f>
        <v>0</v>
      </c>
      <c r="D60" s="61" cm="1">
        <f t="array" ref="D60">SUM(SUMIFS('MAIN DATA, Orders'!$M:$M,'MAIN DATA, Orders'!$C:$C,"Germany",'MAIN DATA, Orders'!$N:$N,"Sondervermögen",'MAIN DATA, Orders'!$G:$G,{"Missile (Land)","Missile (Air)","Missile (Naval)"},'MAIN DATA, Orders'!$Q:$Q,$A60)/1000000000)</f>
        <v>0.376</v>
      </c>
      <c r="E60" s="61" cm="1">
        <f t="array" ref="E60">SUM(SUMIFS('MAIN DATA, Orders'!$M:$M,'MAIN DATA, Orders'!$C:$C,"Germany",'MAIN DATA, Orders'!$N:$N,"Einzelplan 60",'MAIN DATA, Orders'!$G:$G,{"Missile (Land)","Missile (Air)","Missile (Naval)"},'MAIN DATA, Orders'!$Q:$Q,$A60)/1000000000)</f>
        <v>0.39500000000000002</v>
      </c>
    </row>
    <row r="61" spans="1:5">
      <c r="A61" s="72">
        <v>55</v>
      </c>
      <c r="B61" s="155">
        <v>45474</v>
      </c>
      <c r="C61" s="159" cm="1">
        <f t="array" ref="C61">SUM(SUMIFS('MAIN DATA, Orders'!$M:$M,'MAIN DATA, Orders'!$C:$C,"Germany",'MAIN DATA, Orders'!$N:$N,"Einzelplan 14",'MAIN DATA, Orders'!$G:$G,{"Missile (Land)","Missile (Air)","Missile (Naval)"},'MAIN DATA, Orders'!$Q:$Q,$A61)/1000000000)</f>
        <v>0</v>
      </c>
      <c r="D61" s="159" cm="1">
        <f t="array" ref="D61">SUM(SUMIFS('MAIN DATA, Orders'!$M:$M,'MAIN DATA, Orders'!$C:$C,"Germany",'MAIN DATA, Orders'!$N:$N,"Sondervermögen",'MAIN DATA, Orders'!$G:$G,{"Missile (Land)","Missile (Air)","Missile (Naval)"},'MAIN DATA, Orders'!$Q:$Q,$A61)/1000000000)</f>
        <v>0</v>
      </c>
      <c r="E61" s="159" cm="1">
        <f t="array" ref="E61">SUM(SUMIFS('MAIN DATA, Orders'!$M:$M,'MAIN DATA, Orders'!$C:$C,"Germany",'MAIN DATA, Orders'!$N:$N,"Einzelplan 60",'MAIN DATA, Orders'!$G:$G,{"Missile (Land)","Missile (Air)","Missile (Naval)"},'MAIN DATA, Orders'!$Q:$Q,$A61)/1000000000)</f>
        <v>0.2</v>
      </c>
    </row>
    <row r="62" spans="1:5">
      <c r="A62" s="199"/>
      <c r="B62" s="199"/>
      <c r="C62" s="199"/>
      <c r="D62" s="199"/>
      <c r="E62" s="199"/>
    </row>
    <row r="63" spans="1:5">
      <c r="A63" s="199"/>
      <c r="B63" s="69" t="s">
        <v>1431</v>
      </c>
      <c r="C63" s="69">
        <f>SUM(C7:C61)</f>
        <v>2.0380000000000003</v>
      </c>
      <c r="D63" s="69">
        <f>SUM(D7:D61)</f>
        <v>2.7759999999999998</v>
      </c>
      <c r="E63" s="69">
        <f>SUM(E7:E61)</f>
        <v>1.3049999999999999</v>
      </c>
    </row>
  </sheetData>
  <mergeCells count="1">
    <mergeCell ref="B4:F4"/>
  </mergeCell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8AF44-CAE8-4A92-8283-B7805377B799}">
  <sheetPr>
    <tabColor theme="9" tint="0.59999389629810485"/>
  </sheetPr>
  <dimension ref="A2:F63"/>
  <sheetViews>
    <sheetView workbookViewId="0"/>
  </sheetViews>
  <sheetFormatPr defaultColWidth="8.69921875" defaultRowHeight="15.6"/>
  <cols>
    <col min="1" max="1" width="8.69921875" style="1"/>
    <col min="2" max="2" width="13.5" style="1" customWidth="1"/>
    <col min="3" max="3" width="20.69921875" style="1" bestFit="1" customWidth="1"/>
    <col min="4" max="4" width="23.69921875" style="1" bestFit="1" customWidth="1"/>
    <col min="5" max="5" width="20.69921875" style="1" bestFit="1" customWidth="1"/>
    <col min="6" max="16384" width="8.69921875" style="1"/>
  </cols>
  <sheetData>
    <row r="2" spans="1:6" ht="25.2">
      <c r="B2" s="67" t="s">
        <v>1670</v>
      </c>
    </row>
    <row r="4" spans="1:6" ht="130.19999999999999" customHeight="1">
      <c r="B4" s="206" t="s">
        <v>1671</v>
      </c>
      <c r="C4" s="206"/>
      <c r="D4" s="206"/>
      <c r="E4" s="206"/>
      <c r="F4" s="206"/>
    </row>
    <row r="6" spans="1:6" ht="21" customHeight="1">
      <c r="B6" s="161" t="s">
        <v>1404</v>
      </c>
      <c r="C6" s="162" t="s">
        <v>165</v>
      </c>
      <c r="D6" s="162" t="s">
        <v>665</v>
      </c>
      <c r="E6" s="162" t="s">
        <v>784</v>
      </c>
    </row>
    <row r="7" spans="1:6">
      <c r="A7" s="72">
        <v>1</v>
      </c>
      <c r="B7" s="68">
        <v>43831</v>
      </c>
      <c r="C7" s="17" cm="1">
        <f t="array" ref="C7">SUM(SUMIFS('MAIN DATA, Orders'!$I:$I,'MAIN DATA, Orders'!$C:$C,"Germany",'MAIN DATA, Orders'!$N:$N,"Einzelplan 14",'MAIN DATA, Orders'!$G:$G,{"Missile (Land)","Missile (Air)","Missile (Naval)"},'MAIN DATA, Orders'!$Q:$Q,$A7))</f>
        <v>0</v>
      </c>
      <c r="D7" s="17" cm="1">
        <f t="array" ref="D7">SUM(SUMIFS('MAIN DATA, Orders'!$I:$I,'MAIN DATA, Orders'!$C:$C,"Germany",'MAIN DATA, Orders'!$N:$N,"Sondervermögen",'MAIN DATA, Orders'!$G:$G,{"Missile (Land)","Missile (Air)","Missile (Naval)"},'MAIN DATA, Orders'!$Q:$Q,$A7))</f>
        <v>0</v>
      </c>
      <c r="E7" s="17" cm="1">
        <f t="array" ref="E7">SUM(SUMIFS('MAIN DATA, Orders'!$I:$I,'MAIN DATA, Orders'!$C:$C,"Germany",'MAIN DATA, Orders'!$N:$N,"Einzelplan 60",'MAIN DATA, Orders'!$G:$G,{"Missile (Land)","Missile (Air)","Missile (Naval)"},'MAIN DATA, Orders'!$Q:$Q,$A7))</f>
        <v>0</v>
      </c>
    </row>
    <row r="8" spans="1:6">
      <c r="A8" s="72">
        <v>2</v>
      </c>
      <c r="B8" s="68">
        <v>43862</v>
      </c>
      <c r="C8" s="17" cm="1">
        <f t="array" ref="C8">SUM(SUMIFS('MAIN DATA, Orders'!$I:$I,'MAIN DATA, Orders'!$C:$C,"Germany",'MAIN DATA, Orders'!$N:$N,"Einzelplan 14",'MAIN DATA, Orders'!$G:$G,{"Missile (Land)","Missile (Air)","Missile (Naval)"},'MAIN DATA, Orders'!$Q:$Q,$A8))</f>
        <v>0</v>
      </c>
      <c r="D8" s="17" cm="1">
        <f t="array" ref="D8">SUM(SUMIFS('MAIN DATA, Orders'!$I:$I,'MAIN DATA, Orders'!$C:$C,"Germany",'MAIN DATA, Orders'!$N:$N,"Sondervermögen",'MAIN DATA, Orders'!$G:$G,{"Missile (Land)","Missile (Air)","Missile (Naval)"},'MAIN DATA, Orders'!$Q:$Q,$A8))</f>
        <v>0</v>
      </c>
      <c r="E8" s="17" cm="1">
        <f t="array" ref="E8">SUM(SUMIFS('MAIN DATA, Orders'!$I:$I,'MAIN DATA, Orders'!$C:$C,"Germany",'MAIN DATA, Orders'!$N:$N,"Einzelplan 60",'MAIN DATA, Orders'!$G:$G,{"Missile (Land)","Missile (Air)","Missile (Naval)"},'MAIN DATA, Orders'!$Q:$Q,$A8))</f>
        <v>0</v>
      </c>
    </row>
    <row r="9" spans="1:6">
      <c r="A9" s="72">
        <v>3</v>
      </c>
      <c r="B9" s="68">
        <v>43891</v>
      </c>
      <c r="C9" s="17" cm="1">
        <f t="array" ref="C9">SUM(SUMIFS('MAIN DATA, Orders'!$I:$I,'MAIN DATA, Orders'!$C:$C,"Germany",'MAIN DATA, Orders'!$N:$N,"Einzelplan 14",'MAIN DATA, Orders'!$G:$G,{"Missile (Land)","Missile (Air)","Missile (Naval)"},'MAIN DATA, Orders'!$Q:$Q,$A9))</f>
        <v>0</v>
      </c>
      <c r="D9" s="17" cm="1">
        <f t="array" ref="D9">SUM(SUMIFS('MAIN DATA, Orders'!$I:$I,'MAIN DATA, Orders'!$C:$C,"Germany",'MAIN DATA, Orders'!$N:$N,"Sondervermögen",'MAIN DATA, Orders'!$G:$G,{"Missile (Land)","Missile (Air)","Missile (Naval)"},'MAIN DATA, Orders'!$Q:$Q,$A9))</f>
        <v>0</v>
      </c>
      <c r="E9" s="17" cm="1">
        <f t="array" ref="E9">SUM(SUMIFS('MAIN DATA, Orders'!$I:$I,'MAIN DATA, Orders'!$C:$C,"Germany",'MAIN DATA, Orders'!$N:$N,"Einzelplan 60",'MAIN DATA, Orders'!$G:$G,{"Missile (Land)","Missile (Air)","Missile (Naval)"},'MAIN DATA, Orders'!$Q:$Q,$A9))</f>
        <v>0</v>
      </c>
    </row>
    <row r="10" spans="1:6">
      <c r="A10" s="72">
        <v>4</v>
      </c>
      <c r="B10" s="68">
        <v>43922</v>
      </c>
      <c r="C10" s="17" cm="1">
        <f t="array" ref="C10">SUM(SUMIFS('MAIN DATA, Orders'!$I:$I,'MAIN DATA, Orders'!$C:$C,"Germany",'MAIN DATA, Orders'!$N:$N,"Einzelplan 14",'MAIN DATA, Orders'!$G:$G,{"Missile (Land)","Missile (Air)","Missile (Naval)"},'MAIN DATA, Orders'!$Q:$Q,$A10))</f>
        <v>0</v>
      </c>
      <c r="D10" s="17" cm="1">
        <f t="array" ref="D10">SUM(SUMIFS('MAIN DATA, Orders'!$I:$I,'MAIN DATA, Orders'!$C:$C,"Germany",'MAIN DATA, Orders'!$N:$N,"Sondervermögen",'MAIN DATA, Orders'!$G:$G,{"Missile (Land)","Missile (Air)","Missile (Naval)"},'MAIN DATA, Orders'!$Q:$Q,$A10))</f>
        <v>0</v>
      </c>
      <c r="E10" s="17" cm="1">
        <f t="array" ref="E10">SUM(SUMIFS('MAIN DATA, Orders'!$I:$I,'MAIN DATA, Orders'!$C:$C,"Germany",'MAIN DATA, Orders'!$N:$N,"Einzelplan 60",'MAIN DATA, Orders'!$G:$G,{"Missile (Land)","Missile (Air)","Missile (Naval)"},'MAIN DATA, Orders'!$Q:$Q,$A10))</f>
        <v>0</v>
      </c>
    </row>
    <row r="11" spans="1:6">
      <c r="A11" s="72">
        <v>5</v>
      </c>
      <c r="B11" s="68">
        <v>43952</v>
      </c>
      <c r="C11" s="17" cm="1">
        <f t="array" ref="C11">SUM(SUMIFS('MAIN DATA, Orders'!$I:$I,'MAIN DATA, Orders'!$C:$C,"Germany",'MAIN DATA, Orders'!$N:$N,"Einzelplan 14",'MAIN DATA, Orders'!$G:$G,{"Missile (Land)","Missile (Air)","Missile (Naval)"},'MAIN DATA, Orders'!$Q:$Q,$A11))</f>
        <v>0</v>
      </c>
      <c r="D11" s="17" cm="1">
        <f t="array" ref="D11">SUM(SUMIFS('MAIN DATA, Orders'!$I:$I,'MAIN DATA, Orders'!$C:$C,"Germany",'MAIN DATA, Orders'!$N:$N,"Sondervermögen",'MAIN DATA, Orders'!$G:$G,{"Missile (Land)","Missile (Air)","Missile (Naval)"},'MAIN DATA, Orders'!$Q:$Q,$A11))</f>
        <v>0</v>
      </c>
      <c r="E11" s="17" cm="1">
        <f t="array" ref="E11">SUM(SUMIFS('MAIN DATA, Orders'!$I:$I,'MAIN DATA, Orders'!$C:$C,"Germany",'MAIN DATA, Orders'!$N:$N,"Einzelplan 60",'MAIN DATA, Orders'!$G:$G,{"Missile (Land)","Missile (Air)","Missile (Naval)"},'MAIN DATA, Orders'!$Q:$Q,$A11))</f>
        <v>0</v>
      </c>
    </row>
    <row r="12" spans="1:6">
      <c r="A12" s="72">
        <v>6</v>
      </c>
      <c r="B12" s="68">
        <v>43983</v>
      </c>
      <c r="C12" s="17" cm="1">
        <f t="array" ref="C12">SUM(SUMIFS('MAIN DATA, Orders'!$I:$I,'MAIN DATA, Orders'!$C:$C,"Germany",'MAIN DATA, Orders'!$N:$N,"Einzelplan 14",'MAIN DATA, Orders'!$G:$G,{"Missile (Land)","Missile (Air)","Missile (Naval)"},'MAIN DATA, Orders'!$Q:$Q,$A12))</f>
        <v>0</v>
      </c>
      <c r="D12" s="17" cm="1">
        <f t="array" ref="D12">SUM(SUMIFS('MAIN DATA, Orders'!$I:$I,'MAIN DATA, Orders'!$C:$C,"Germany",'MAIN DATA, Orders'!$N:$N,"Sondervermögen",'MAIN DATA, Orders'!$G:$G,{"Missile (Land)","Missile (Air)","Missile (Naval)"},'MAIN DATA, Orders'!$Q:$Q,$A12))</f>
        <v>0</v>
      </c>
      <c r="E12" s="17" cm="1">
        <f t="array" ref="E12">SUM(SUMIFS('MAIN DATA, Orders'!$I:$I,'MAIN DATA, Orders'!$C:$C,"Germany",'MAIN DATA, Orders'!$N:$N,"Einzelplan 60",'MAIN DATA, Orders'!$G:$G,{"Missile (Land)","Missile (Air)","Missile (Naval)"},'MAIN DATA, Orders'!$Q:$Q,$A12))</f>
        <v>0</v>
      </c>
    </row>
    <row r="13" spans="1:6">
      <c r="A13" s="72">
        <v>7</v>
      </c>
      <c r="B13" s="68">
        <v>44013</v>
      </c>
      <c r="C13" s="17" cm="1">
        <f t="array" ref="C13">SUM(SUMIFS('MAIN DATA, Orders'!$I:$I,'MAIN DATA, Orders'!$C:$C,"Germany",'MAIN DATA, Orders'!$N:$N,"Einzelplan 14",'MAIN DATA, Orders'!$G:$G,{"Missile (Land)","Missile (Air)","Missile (Naval)"},'MAIN DATA, Orders'!$Q:$Q,$A13))</f>
        <v>0</v>
      </c>
      <c r="D13" s="17" cm="1">
        <f t="array" ref="D13">SUM(SUMIFS('MAIN DATA, Orders'!$I:$I,'MAIN DATA, Orders'!$C:$C,"Germany",'MAIN DATA, Orders'!$N:$N,"Sondervermögen",'MAIN DATA, Orders'!$G:$G,{"Missile (Land)","Missile (Air)","Missile (Naval)"},'MAIN DATA, Orders'!$Q:$Q,$A13))</f>
        <v>0</v>
      </c>
      <c r="E13" s="17" cm="1">
        <f t="array" ref="E13">SUM(SUMIFS('MAIN DATA, Orders'!$I:$I,'MAIN DATA, Orders'!$C:$C,"Germany",'MAIN DATA, Orders'!$N:$N,"Einzelplan 60",'MAIN DATA, Orders'!$G:$G,{"Missile (Land)","Missile (Air)","Missile (Naval)"},'MAIN DATA, Orders'!$Q:$Q,$A13))</f>
        <v>0</v>
      </c>
    </row>
    <row r="14" spans="1:6">
      <c r="A14" s="72">
        <v>8</v>
      </c>
      <c r="B14" s="68">
        <v>44044</v>
      </c>
      <c r="C14" s="17" cm="1">
        <f t="array" ref="C14">SUM(SUMIFS('MAIN DATA, Orders'!$I:$I,'MAIN DATA, Orders'!$C:$C,"Germany",'MAIN DATA, Orders'!$N:$N,"Einzelplan 14",'MAIN DATA, Orders'!$G:$G,{"Missile (Land)","Missile (Air)","Missile (Naval)"},'MAIN DATA, Orders'!$Q:$Q,$A14))</f>
        <v>0</v>
      </c>
      <c r="D14" s="17" cm="1">
        <f t="array" ref="D14">SUM(SUMIFS('MAIN DATA, Orders'!$I:$I,'MAIN DATA, Orders'!$C:$C,"Germany",'MAIN DATA, Orders'!$N:$N,"Sondervermögen",'MAIN DATA, Orders'!$G:$G,{"Missile (Land)","Missile (Air)","Missile (Naval)"},'MAIN DATA, Orders'!$Q:$Q,$A14))</f>
        <v>0</v>
      </c>
      <c r="E14" s="17" cm="1">
        <f t="array" ref="E14">SUM(SUMIFS('MAIN DATA, Orders'!$I:$I,'MAIN DATA, Orders'!$C:$C,"Germany",'MAIN DATA, Orders'!$N:$N,"Einzelplan 60",'MAIN DATA, Orders'!$G:$G,{"Missile (Land)","Missile (Air)","Missile (Naval)"},'MAIN DATA, Orders'!$Q:$Q,$A14))</f>
        <v>0</v>
      </c>
    </row>
    <row r="15" spans="1:6">
      <c r="A15" s="72">
        <v>9</v>
      </c>
      <c r="B15" s="68">
        <v>44075</v>
      </c>
      <c r="C15" s="17" cm="1">
        <f t="array" ref="C15">SUM(SUMIFS('MAIN DATA, Orders'!$I:$I,'MAIN DATA, Orders'!$C:$C,"Germany",'MAIN DATA, Orders'!$N:$N,"Einzelplan 14",'MAIN DATA, Orders'!$G:$G,{"Missile (Land)","Missile (Air)","Missile (Naval)"},'MAIN DATA, Orders'!$Q:$Q,$A15))</f>
        <v>75</v>
      </c>
      <c r="D15" s="17" cm="1">
        <f t="array" ref="D15">SUM(SUMIFS('MAIN DATA, Orders'!$I:$I,'MAIN DATA, Orders'!$C:$C,"Germany",'MAIN DATA, Orders'!$N:$N,"Sondervermögen",'MAIN DATA, Orders'!$G:$G,{"Missile (Land)","Missile (Air)","Missile (Naval)"},'MAIN DATA, Orders'!$Q:$Q,$A15))</f>
        <v>0</v>
      </c>
      <c r="E15" s="17" cm="1">
        <f t="array" ref="E15">SUM(SUMIFS('MAIN DATA, Orders'!$I:$I,'MAIN DATA, Orders'!$C:$C,"Germany",'MAIN DATA, Orders'!$N:$N,"Einzelplan 60",'MAIN DATA, Orders'!$G:$G,{"Missile (Land)","Missile (Air)","Missile (Naval)"},'MAIN DATA, Orders'!$Q:$Q,$A15))</f>
        <v>0</v>
      </c>
    </row>
    <row r="16" spans="1:6">
      <c r="A16" s="72">
        <v>10</v>
      </c>
      <c r="B16" s="68">
        <v>44105</v>
      </c>
      <c r="C16" s="17" cm="1">
        <f t="array" ref="C16">SUM(SUMIFS('MAIN DATA, Orders'!$I:$I,'MAIN DATA, Orders'!$C:$C,"Germany",'MAIN DATA, Orders'!$N:$N,"Einzelplan 14",'MAIN DATA, Orders'!$G:$G,{"Missile (Land)","Missile (Air)","Missile (Naval)"},'MAIN DATA, Orders'!$Q:$Q,$A16))</f>
        <v>0</v>
      </c>
      <c r="D16" s="17" cm="1">
        <f t="array" ref="D16">SUM(SUMIFS('MAIN DATA, Orders'!$I:$I,'MAIN DATA, Orders'!$C:$C,"Germany",'MAIN DATA, Orders'!$N:$N,"Sondervermögen",'MAIN DATA, Orders'!$G:$G,{"Missile (Land)","Missile (Air)","Missile (Naval)"},'MAIN DATA, Orders'!$Q:$Q,$A16))</f>
        <v>0</v>
      </c>
      <c r="E16" s="17" cm="1">
        <f t="array" ref="E16">SUM(SUMIFS('MAIN DATA, Orders'!$I:$I,'MAIN DATA, Orders'!$C:$C,"Germany",'MAIN DATA, Orders'!$N:$N,"Einzelplan 60",'MAIN DATA, Orders'!$G:$G,{"Missile (Land)","Missile (Air)","Missile (Naval)"},'MAIN DATA, Orders'!$Q:$Q,$A16))</f>
        <v>0</v>
      </c>
    </row>
    <row r="17" spans="1:5">
      <c r="A17" s="72">
        <v>11</v>
      </c>
      <c r="B17" s="68">
        <v>44136</v>
      </c>
      <c r="C17" s="17" cm="1">
        <f t="array" ref="C17">SUM(SUMIFS('MAIN DATA, Orders'!$I:$I,'MAIN DATA, Orders'!$C:$C,"Germany",'MAIN DATA, Orders'!$N:$N,"Einzelplan 14",'MAIN DATA, Orders'!$G:$G,{"Missile (Land)","Missile (Air)","Missile (Naval)"},'MAIN DATA, Orders'!$Q:$Q,$A17))</f>
        <v>0</v>
      </c>
      <c r="D17" s="17" cm="1">
        <f t="array" ref="D17">SUM(SUMIFS('MAIN DATA, Orders'!$I:$I,'MAIN DATA, Orders'!$C:$C,"Germany",'MAIN DATA, Orders'!$N:$N,"Sondervermögen",'MAIN DATA, Orders'!$G:$G,{"Missile (Land)","Missile (Air)","Missile (Naval)"},'MAIN DATA, Orders'!$Q:$Q,$A17))</f>
        <v>0</v>
      </c>
      <c r="E17" s="17" cm="1">
        <f t="array" ref="E17">SUM(SUMIFS('MAIN DATA, Orders'!$I:$I,'MAIN DATA, Orders'!$C:$C,"Germany",'MAIN DATA, Orders'!$N:$N,"Einzelplan 60",'MAIN DATA, Orders'!$G:$G,{"Missile (Land)","Missile (Air)","Missile (Naval)"},'MAIN DATA, Orders'!$Q:$Q,$A17))</f>
        <v>0</v>
      </c>
    </row>
    <row r="18" spans="1:5">
      <c r="A18" s="72">
        <v>12</v>
      </c>
      <c r="B18" s="68">
        <v>44166</v>
      </c>
      <c r="C18" s="17" cm="1">
        <f t="array" ref="C18">SUM(SUMIFS('MAIN DATA, Orders'!$I:$I,'MAIN DATA, Orders'!$C:$C,"Germany",'MAIN DATA, Orders'!$N:$N,"Einzelplan 14",'MAIN DATA, Orders'!$G:$G,{"Missile (Land)","Missile (Air)","Missile (Naval)"},'MAIN DATA, Orders'!$Q:$Q,$A18))</f>
        <v>0</v>
      </c>
      <c r="D18" s="17" cm="1">
        <f t="array" ref="D18">SUM(SUMIFS('MAIN DATA, Orders'!$I:$I,'MAIN DATA, Orders'!$C:$C,"Germany",'MAIN DATA, Orders'!$N:$N,"Sondervermögen",'MAIN DATA, Orders'!$G:$G,{"Missile (Land)","Missile (Air)","Missile (Naval)"},'MAIN DATA, Orders'!$Q:$Q,$A18))</f>
        <v>0</v>
      </c>
      <c r="E18" s="17" cm="1">
        <f t="array" ref="E18">SUM(SUMIFS('MAIN DATA, Orders'!$I:$I,'MAIN DATA, Orders'!$C:$C,"Germany",'MAIN DATA, Orders'!$N:$N,"Einzelplan 60",'MAIN DATA, Orders'!$G:$G,{"Missile (Land)","Missile (Air)","Missile (Naval)"},'MAIN DATA, Orders'!$Q:$Q,$A18))</f>
        <v>0</v>
      </c>
    </row>
    <row r="19" spans="1:5">
      <c r="A19" s="72">
        <v>13</v>
      </c>
      <c r="B19" s="68">
        <v>44197</v>
      </c>
      <c r="C19" s="17" cm="1">
        <f t="array" ref="C19">SUM(SUMIFS('MAIN DATA, Orders'!$I:$I,'MAIN DATA, Orders'!$C:$C,"Germany",'MAIN DATA, Orders'!$N:$N,"Einzelplan 14",'MAIN DATA, Orders'!$G:$G,{"Missile (Land)","Missile (Air)","Missile (Naval)"},'MAIN DATA, Orders'!$Q:$Q,$A19))</f>
        <v>0</v>
      </c>
      <c r="D19" s="17" cm="1">
        <f t="array" ref="D19">SUM(SUMIFS('MAIN DATA, Orders'!$I:$I,'MAIN DATA, Orders'!$C:$C,"Germany",'MAIN DATA, Orders'!$N:$N,"Sondervermögen",'MAIN DATA, Orders'!$G:$G,{"Missile (Land)","Missile (Air)","Missile (Naval)"},'MAIN DATA, Orders'!$Q:$Q,$A19))</f>
        <v>0</v>
      </c>
      <c r="E19" s="17" cm="1">
        <f t="array" ref="E19">SUM(SUMIFS('MAIN DATA, Orders'!$I:$I,'MAIN DATA, Orders'!$C:$C,"Germany",'MAIN DATA, Orders'!$N:$N,"Einzelplan 60",'MAIN DATA, Orders'!$G:$G,{"Missile (Land)","Missile (Air)","Missile (Naval)"},'MAIN DATA, Orders'!$Q:$Q,$A19))</f>
        <v>0</v>
      </c>
    </row>
    <row r="20" spans="1:5">
      <c r="A20" s="72">
        <v>14</v>
      </c>
      <c r="B20" s="68">
        <v>44228</v>
      </c>
      <c r="C20" s="17" cm="1">
        <f t="array" ref="C20">SUM(SUMIFS('MAIN DATA, Orders'!$I:$I,'MAIN DATA, Orders'!$C:$C,"Germany",'MAIN DATA, Orders'!$N:$N,"Einzelplan 14",'MAIN DATA, Orders'!$G:$G,{"Missile (Land)","Missile (Air)","Missile (Naval)"},'MAIN DATA, Orders'!$Q:$Q,$A20))</f>
        <v>748</v>
      </c>
      <c r="D20" s="17" cm="1">
        <f t="array" ref="D20">SUM(SUMIFS('MAIN DATA, Orders'!$I:$I,'MAIN DATA, Orders'!$C:$C,"Germany",'MAIN DATA, Orders'!$N:$N,"Sondervermögen",'MAIN DATA, Orders'!$G:$G,{"Missile (Land)","Missile (Air)","Missile (Naval)"},'MAIN DATA, Orders'!$Q:$Q,$A20))</f>
        <v>0</v>
      </c>
      <c r="E20" s="17" cm="1">
        <f t="array" ref="E20">SUM(SUMIFS('MAIN DATA, Orders'!$I:$I,'MAIN DATA, Orders'!$C:$C,"Germany",'MAIN DATA, Orders'!$N:$N,"Einzelplan 60",'MAIN DATA, Orders'!$G:$G,{"Missile (Land)","Missile (Air)","Missile (Naval)"},'MAIN DATA, Orders'!$Q:$Q,$A20))</f>
        <v>0</v>
      </c>
    </row>
    <row r="21" spans="1:5">
      <c r="A21" s="72">
        <v>15</v>
      </c>
      <c r="B21" s="68">
        <v>44256</v>
      </c>
      <c r="C21" s="17" cm="1">
        <f t="array" ref="C21">SUM(SUMIFS('MAIN DATA, Orders'!$I:$I,'MAIN DATA, Orders'!$C:$C,"Germany",'MAIN DATA, Orders'!$N:$N,"Einzelplan 14",'MAIN DATA, Orders'!$G:$G,{"Missile (Land)","Missile (Air)","Missile (Naval)"},'MAIN DATA, Orders'!$Q:$Q,$A21))</f>
        <v>0</v>
      </c>
      <c r="D21" s="17" cm="1">
        <f t="array" ref="D21">SUM(SUMIFS('MAIN DATA, Orders'!$I:$I,'MAIN DATA, Orders'!$C:$C,"Germany",'MAIN DATA, Orders'!$N:$N,"Sondervermögen",'MAIN DATA, Orders'!$G:$G,{"Missile (Land)","Missile (Air)","Missile (Naval)"},'MAIN DATA, Orders'!$Q:$Q,$A21))</f>
        <v>0</v>
      </c>
      <c r="E21" s="17" cm="1">
        <f t="array" ref="E21">SUM(SUMIFS('MAIN DATA, Orders'!$I:$I,'MAIN DATA, Orders'!$C:$C,"Germany",'MAIN DATA, Orders'!$N:$N,"Einzelplan 60",'MAIN DATA, Orders'!$G:$G,{"Missile (Land)","Missile (Air)","Missile (Naval)"},'MAIN DATA, Orders'!$Q:$Q,$A21))</f>
        <v>0</v>
      </c>
    </row>
    <row r="22" spans="1:5">
      <c r="A22" s="72">
        <v>16</v>
      </c>
      <c r="B22" s="68">
        <v>44287</v>
      </c>
      <c r="C22" s="17" cm="1">
        <f t="array" ref="C22">SUM(SUMIFS('MAIN DATA, Orders'!$I:$I,'MAIN DATA, Orders'!$C:$C,"Germany",'MAIN DATA, Orders'!$N:$N,"Einzelplan 14",'MAIN DATA, Orders'!$G:$G,{"Missile (Land)","Missile (Air)","Missile (Naval)"},'MAIN DATA, Orders'!$Q:$Q,$A22))</f>
        <v>0</v>
      </c>
      <c r="D22" s="17" cm="1">
        <f t="array" ref="D22">SUM(SUMIFS('MAIN DATA, Orders'!$I:$I,'MAIN DATA, Orders'!$C:$C,"Germany",'MAIN DATA, Orders'!$N:$N,"Sondervermögen",'MAIN DATA, Orders'!$G:$G,{"Missile (Land)","Missile (Air)","Missile (Naval)"},'MAIN DATA, Orders'!$Q:$Q,$A22))</f>
        <v>0</v>
      </c>
      <c r="E22" s="17" cm="1">
        <f t="array" ref="E22">SUM(SUMIFS('MAIN DATA, Orders'!$I:$I,'MAIN DATA, Orders'!$C:$C,"Germany",'MAIN DATA, Orders'!$N:$N,"Einzelplan 60",'MAIN DATA, Orders'!$G:$G,{"Missile (Land)","Missile (Air)","Missile (Naval)"},'MAIN DATA, Orders'!$Q:$Q,$A22))</f>
        <v>0</v>
      </c>
    </row>
    <row r="23" spans="1:5">
      <c r="A23" s="72">
        <v>17</v>
      </c>
      <c r="B23" s="68">
        <v>44317</v>
      </c>
      <c r="C23" s="17" cm="1">
        <f t="array" ref="C23">SUM(SUMIFS('MAIN DATA, Orders'!$I:$I,'MAIN DATA, Orders'!$C:$C,"Germany",'MAIN DATA, Orders'!$N:$N,"Einzelplan 14",'MAIN DATA, Orders'!$G:$G,{"Missile (Land)","Missile (Air)","Missile (Naval)"},'MAIN DATA, Orders'!$Q:$Q,$A23))</f>
        <v>0</v>
      </c>
      <c r="D23" s="17" cm="1">
        <f t="array" ref="D23">SUM(SUMIFS('MAIN DATA, Orders'!$I:$I,'MAIN DATA, Orders'!$C:$C,"Germany",'MAIN DATA, Orders'!$N:$N,"Sondervermögen",'MAIN DATA, Orders'!$G:$G,{"Missile (Land)","Missile (Air)","Missile (Naval)"},'MAIN DATA, Orders'!$Q:$Q,$A23))</f>
        <v>0</v>
      </c>
      <c r="E23" s="17" cm="1">
        <f t="array" ref="E23">SUM(SUMIFS('MAIN DATA, Orders'!$I:$I,'MAIN DATA, Orders'!$C:$C,"Germany",'MAIN DATA, Orders'!$N:$N,"Einzelplan 60",'MAIN DATA, Orders'!$G:$G,{"Missile (Land)","Missile (Air)","Missile (Naval)"},'MAIN DATA, Orders'!$Q:$Q,$A23))</f>
        <v>0</v>
      </c>
    </row>
    <row r="24" spans="1:5">
      <c r="A24" s="72">
        <v>18</v>
      </c>
      <c r="B24" s="68">
        <v>44348</v>
      </c>
      <c r="C24" s="17" cm="1">
        <f t="array" ref="C24">SUM(SUMIFS('MAIN DATA, Orders'!$I:$I,'MAIN DATA, Orders'!$C:$C,"Germany",'MAIN DATA, Orders'!$N:$N,"Einzelplan 14",'MAIN DATA, Orders'!$G:$G,{"Missile (Land)","Missile (Air)","Missile (Naval)"},'MAIN DATA, Orders'!$Q:$Q,$A24))</f>
        <v>0</v>
      </c>
      <c r="D24" s="17" cm="1">
        <f t="array" ref="D24">SUM(SUMIFS('MAIN DATA, Orders'!$I:$I,'MAIN DATA, Orders'!$C:$C,"Germany",'MAIN DATA, Orders'!$N:$N,"Sondervermögen",'MAIN DATA, Orders'!$G:$G,{"Missile (Land)","Missile (Air)","Missile (Naval)"},'MAIN DATA, Orders'!$Q:$Q,$A24))</f>
        <v>0</v>
      </c>
      <c r="E24" s="17" cm="1">
        <f t="array" ref="E24">SUM(SUMIFS('MAIN DATA, Orders'!$I:$I,'MAIN DATA, Orders'!$C:$C,"Germany",'MAIN DATA, Orders'!$N:$N,"Einzelplan 60",'MAIN DATA, Orders'!$G:$G,{"Missile (Land)","Missile (Air)","Missile (Naval)"},'MAIN DATA, Orders'!$Q:$Q,$A24))</f>
        <v>0</v>
      </c>
    </row>
    <row r="25" spans="1:5">
      <c r="A25" s="72">
        <v>19</v>
      </c>
      <c r="B25" s="68">
        <v>44378</v>
      </c>
      <c r="C25" s="17" cm="1">
        <f t="array" ref="C25">SUM(SUMIFS('MAIN DATA, Orders'!$I:$I,'MAIN DATA, Orders'!$C:$C,"Germany",'MAIN DATA, Orders'!$N:$N,"Einzelplan 14",'MAIN DATA, Orders'!$G:$G,{"Missile (Land)","Missile (Air)","Missile (Naval)"},'MAIN DATA, Orders'!$Q:$Q,$A25))</f>
        <v>0</v>
      </c>
      <c r="D25" s="17" cm="1">
        <f t="array" ref="D25">SUM(SUMIFS('MAIN DATA, Orders'!$I:$I,'MAIN DATA, Orders'!$C:$C,"Germany",'MAIN DATA, Orders'!$N:$N,"Sondervermögen",'MAIN DATA, Orders'!$G:$G,{"Missile (Land)","Missile (Air)","Missile (Naval)"},'MAIN DATA, Orders'!$Q:$Q,$A25))</f>
        <v>0</v>
      </c>
      <c r="E25" s="17" cm="1">
        <f t="array" ref="E25">SUM(SUMIFS('MAIN DATA, Orders'!$I:$I,'MAIN DATA, Orders'!$C:$C,"Germany",'MAIN DATA, Orders'!$N:$N,"Einzelplan 60",'MAIN DATA, Orders'!$G:$G,{"Missile (Land)","Missile (Air)","Missile (Naval)"},'MAIN DATA, Orders'!$Q:$Q,$A25))</f>
        <v>0</v>
      </c>
    </row>
    <row r="26" spans="1:5">
      <c r="A26" s="72">
        <v>20</v>
      </c>
      <c r="B26" s="68">
        <v>44409</v>
      </c>
      <c r="C26" s="17" cm="1">
        <f t="array" ref="C26">SUM(SUMIFS('MAIN DATA, Orders'!$I:$I,'MAIN DATA, Orders'!$C:$C,"Germany",'MAIN DATA, Orders'!$N:$N,"Einzelplan 14",'MAIN DATA, Orders'!$G:$G,{"Missile (Land)","Missile (Air)","Missile (Naval)"},'MAIN DATA, Orders'!$Q:$Q,$A26))</f>
        <v>0</v>
      </c>
      <c r="D26" s="17" cm="1">
        <f t="array" ref="D26">SUM(SUMIFS('MAIN DATA, Orders'!$I:$I,'MAIN DATA, Orders'!$C:$C,"Germany",'MAIN DATA, Orders'!$N:$N,"Sondervermögen",'MAIN DATA, Orders'!$G:$G,{"Missile (Land)","Missile (Air)","Missile (Naval)"},'MAIN DATA, Orders'!$Q:$Q,$A26))</f>
        <v>0</v>
      </c>
      <c r="E26" s="17" cm="1">
        <f t="array" ref="E26">SUM(SUMIFS('MAIN DATA, Orders'!$I:$I,'MAIN DATA, Orders'!$C:$C,"Germany",'MAIN DATA, Orders'!$N:$N,"Einzelplan 60",'MAIN DATA, Orders'!$G:$G,{"Missile (Land)","Missile (Air)","Missile (Naval)"},'MAIN DATA, Orders'!$Q:$Q,$A26))</f>
        <v>0</v>
      </c>
    </row>
    <row r="27" spans="1:5">
      <c r="A27" s="72">
        <v>21</v>
      </c>
      <c r="B27" s="68">
        <v>44440</v>
      </c>
      <c r="C27" s="17" cm="1">
        <f t="array" ref="C27">SUM(SUMIFS('MAIN DATA, Orders'!$I:$I,'MAIN DATA, Orders'!$C:$C,"Germany",'MAIN DATA, Orders'!$N:$N,"Einzelplan 14",'MAIN DATA, Orders'!$G:$G,{"Missile (Land)","Missile (Air)","Missile (Naval)"},'MAIN DATA, Orders'!$Q:$Q,$A27))</f>
        <v>0</v>
      </c>
      <c r="D27" s="17" cm="1">
        <f t="array" ref="D27">SUM(SUMIFS('MAIN DATA, Orders'!$I:$I,'MAIN DATA, Orders'!$C:$C,"Germany",'MAIN DATA, Orders'!$N:$N,"Sondervermögen",'MAIN DATA, Orders'!$G:$G,{"Missile (Land)","Missile (Air)","Missile (Naval)"},'MAIN DATA, Orders'!$Q:$Q,$A27))</f>
        <v>0</v>
      </c>
      <c r="E27" s="17" cm="1">
        <f t="array" ref="E27">SUM(SUMIFS('MAIN DATA, Orders'!$I:$I,'MAIN DATA, Orders'!$C:$C,"Germany",'MAIN DATA, Orders'!$N:$N,"Einzelplan 60",'MAIN DATA, Orders'!$G:$G,{"Missile (Land)","Missile (Air)","Missile (Naval)"},'MAIN DATA, Orders'!$Q:$Q,$A27))</f>
        <v>0</v>
      </c>
    </row>
    <row r="28" spans="1:5">
      <c r="A28" s="72">
        <v>22</v>
      </c>
      <c r="B28" s="68">
        <v>44470</v>
      </c>
      <c r="C28" s="17" cm="1">
        <f t="array" ref="C28">SUM(SUMIFS('MAIN DATA, Orders'!$I:$I,'MAIN DATA, Orders'!$C:$C,"Germany",'MAIN DATA, Orders'!$N:$N,"Einzelplan 14",'MAIN DATA, Orders'!$G:$G,{"Missile (Land)","Missile (Air)","Missile (Naval)"},'MAIN DATA, Orders'!$Q:$Q,$A28))</f>
        <v>0</v>
      </c>
      <c r="D28" s="17" cm="1">
        <f t="array" ref="D28">SUM(SUMIFS('MAIN DATA, Orders'!$I:$I,'MAIN DATA, Orders'!$C:$C,"Germany",'MAIN DATA, Orders'!$N:$N,"Sondervermögen",'MAIN DATA, Orders'!$G:$G,{"Missile (Land)","Missile (Air)","Missile (Naval)"},'MAIN DATA, Orders'!$Q:$Q,$A28))</f>
        <v>0</v>
      </c>
      <c r="E28" s="17" cm="1">
        <f t="array" ref="E28">SUM(SUMIFS('MAIN DATA, Orders'!$I:$I,'MAIN DATA, Orders'!$C:$C,"Germany",'MAIN DATA, Orders'!$N:$N,"Einzelplan 60",'MAIN DATA, Orders'!$G:$G,{"Missile (Land)","Missile (Air)","Missile (Naval)"},'MAIN DATA, Orders'!$Q:$Q,$A28))</f>
        <v>0</v>
      </c>
    </row>
    <row r="29" spans="1:5">
      <c r="A29" s="72">
        <v>23</v>
      </c>
      <c r="B29" s="68">
        <v>44501</v>
      </c>
      <c r="C29" s="17" cm="1">
        <f t="array" ref="C29">SUM(SUMIFS('MAIN DATA, Orders'!$I:$I,'MAIN DATA, Orders'!$C:$C,"Germany",'MAIN DATA, Orders'!$N:$N,"Einzelplan 14",'MAIN DATA, Orders'!$G:$G,{"Missile (Land)","Missile (Air)","Missile (Naval)"},'MAIN DATA, Orders'!$Q:$Q,$A29))</f>
        <v>0</v>
      </c>
      <c r="D29" s="17" cm="1">
        <f t="array" ref="D29">SUM(SUMIFS('MAIN DATA, Orders'!$I:$I,'MAIN DATA, Orders'!$C:$C,"Germany",'MAIN DATA, Orders'!$N:$N,"Sondervermögen",'MAIN DATA, Orders'!$G:$G,{"Missile (Land)","Missile (Air)","Missile (Naval)"},'MAIN DATA, Orders'!$Q:$Q,$A29))</f>
        <v>0</v>
      </c>
      <c r="E29" s="17" cm="1">
        <f t="array" ref="E29">SUM(SUMIFS('MAIN DATA, Orders'!$I:$I,'MAIN DATA, Orders'!$C:$C,"Germany",'MAIN DATA, Orders'!$N:$N,"Einzelplan 60",'MAIN DATA, Orders'!$G:$G,{"Missile (Land)","Missile (Air)","Missile (Naval)"},'MAIN DATA, Orders'!$Q:$Q,$A29))</f>
        <v>0</v>
      </c>
    </row>
    <row r="30" spans="1:5">
      <c r="A30" s="72">
        <v>24</v>
      </c>
      <c r="B30" s="68">
        <v>44531</v>
      </c>
      <c r="C30" s="17" cm="1">
        <f t="array" ref="C30">SUM(SUMIFS('MAIN DATA, Orders'!$I:$I,'MAIN DATA, Orders'!$C:$C,"Germany",'MAIN DATA, Orders'!$N:$N,"Einzelplan 14",'MAIN DATA, Orders'!$G:$G,{"Missile (Land)","Missile (Air)","Missile (Naval)"},'MAIN DATA, Orders'!$Q:$Q,$A30))</f>
        <v>0</v>
      </c>
      <c r="D30" s="17" cm="1">
        <f t="array" ref="D30">SUM(SUMIFS('MAIN DATA, Orders'!$I:$I,'MAIN DATA, Orders'!$C:$C,"Germany",'MAIN DATA, Orders'!$N:$N,"Sondervermögen",'MAIN DATA, Orders'!$G:$G,{"Missile (Land)","Missile (Air)","Missile (Naval)"},'MAIN DATA, Orders'!$Q:$Q,$A30))</f>
        <v>0</v>
      </c>
      <c r="E30" s="17" cm="1">
        <f t="array" ref="E30">SUM(SUMIFS('MAIN DATA, Orders'!$I:$I,'MAIN DATA, Orders'!$C:$C,"Germany",'MAIN DATA, Orders'!$N:$N,"Einzelplan 60",'MAIN DATA, Orders'!$G:$G,{"Missile (Land)","Missile (Air)","Missile (Naval)"},'MAIN DATA, Orders'!$Q:$Q,$A30))</f>
        <v>0</v>
      </c>
    </row>
    <row r="31" spans="1:5">
      <c r="A31" s="72">
        <v>25</v>
      </c>
      <c r="B31" s="68">
        <v>44562</v>
      </c>
      <c r="C31" s="17" cm="1">
        <f t="array" ref="C31">SUM(SUMIFS('MAIN DATA, Orders'!$I:$I,'MAIN DATA, Orders'!$C:$C,"Germany",'MAIN DATA, Orders'!$N:$N,"Einzelplan 14",'MAIN DATA, Orders'!$G:$G,{"Missile (Land)","Missile (Air)","Missile (Naval)"},'MAIN DATA, Orders'!$Q:$Q,$A31))</f>
        <v>0</v>
      </c>
      <c r="D31" s="17" cm="1">
        <f t="array" ref="D31">SUM(SUMIFS('MAIN DATA, Orders'!$I:$I,'MAIN DATA, Orders'!$C:$C,"Germany",'MAIN DATA, Orders'!$N:$N,"Sondervermögen",'MAIN DATA, Orders'!$G:$G,{"Missile (Land)","Missile (Air)","Missile (Naval)"},'MAIN DATA, Orders'!$Q:$Q,$A31))</f>
        <v>0</v>
      </c>
      <c r="E31" s="17" cm="1">
        <f t="array" ref="E31">SUM(SUMIFS('MAIN DATA, Orders'!$I:$I,'MAIN DATA, Orders'!$C:$C,"Germany",'MAIN DATA, Orders'!$N:$N,"Einzelplan 60",'MAIN DATA, Orders'!$G:$G,{"Missile (Land)","Missile (Air)","Missile (Naval)"},'MAIN DATA, Orders'!$Q:$Q,$A31))</f>
        <v>0</v>
      </c>
    </row>
    <row r="32" spans="1:5">
      <c r="A32" s="72">
        <v>26</v>
      </c>
      <c r="B32" s="68">
        <v>44593</v>
      </c>
      <c r="C32" s="17" cm="1">
        <f t="array" ref="C32">SUM(SUMIFS('MAIN DATA, Orders'!$I:$I,'MAIN DATA, Orders'!$C:$C,"Germany",'MAIN DATA, Orders'!$N:$N,"Einzelplan 14",'MAIN DATA, Orders'!$G:$G,{"Missile (Land)","Missile (Air)","Missile (Naval)"},'MAIN DATA, Orders'!$Q:$Q,$A32))</f>
        <v>0</v>
      </c>
      <c r="D32" s="17" cm="1">
        <f t="array" ref="D32">SUM(SUMIFS('MAIN DATA, Orders'!$I:$I,'MAIN DATA, Orders'!$C:$C,"Germany",'MAIN DATA, Orders'!$N:$N,"Sondervermögen",'MAIN DATA, Orders'!$G:$G,{"Missile (Land)","Missile (Air)","Missile (Naval)"},'MAIN DATA, Orders'!$Q:$Q,$A32))</f>
        <v>0</v>
      </c>
      <c r="E32" s="17" cm="1">
        <f t="array" ref="E32">SUM(SUMIFS('MAIN DATA, Orders'!$I:$I,'MAIN DATA, Orders'!$C:$C,"Germany",'MAIN DATA, Orders'!$N:$N,"Einzelplan 60",'MAIN DATA, Orders'!$G:$G,{"Missile (Land)","Missile (Air)","Missile (Naval)"},'MAIN DATA, Orders'!$Q:$Q,$A32))</f>
        <v>0</v>
      </c>
    </row>
    <row r="33" spans="1:5">
      <c r="A33" s="72">
        <v>27</v>
      </c>
      <c r="B33" s="68">
        <v>44621</v>
      </c>
      <c r="C33" s="17" cm="1">
        <f t="array" ref="C33">SUM(SUMIFS('MAIN DATA, Orders'!$I:$I,'MAIN DATA, Orders'!$C:$C,"Germany",'MAIN DATA, Orders'!$N:$N,"Einzelplan 14",'MAIN DATA, Orders'!$G:$G,{"Missile (Land)","Missile (Air)","Missile (Naval)"},'MAIN DATA, Orders'!$Q:$Q,$A33))</f>
        <v>0</v>
      </c>
      <c r="D33" s="17" cm="1">
        <f t="array" ref="D33">SUM(SUMIFS('MAIN DATA, Orders'!$I:$I,'MAIN DATA, Orders'!$C:$C,"Germany",'MAIN DATA, Orders'!$N:$N,"Sondervermögen",'MAIN DATA, Orders'!$G:$G,{"Missile (Land)","Missile (Air)","Missile (Naval)"},'MAIN DATA, Orders'!$Q:$Q,$A33))</f>
        <v>0</v>
      </c>
      <c r="E33" s="17" cm="1">
        <f t="array" ref="E33">SUM(SUMIFS('MAIN DATA, Orders'!$I:$I,'MAIN DATA, Orders'!$C:$C,"Germany",'MAIN DATA, Orders'!$N:$N,"Einzelplan 60",'MAIN DATA, Orders'!$G:$G,{"Missile (Land)","Missile (Air)","Missile (Naval)"},'MAIN DATA, Orders'!$Q:$Q,$A33))</f>
        <v>0</v>
      </c>
    </row>
    <row r="34" spans="1:5">
      <c r="A34" s="72">
        <v>28</v>
      </c>
      <c r="B34" s="68">
        <v>44652</v>
      </c>
      <c r="C34" s="17" cm="1">
        <f t="array" ref="C34">SUM(SUMIFS('MAIN DATA, Orders'!$I:$I,'MAIN DATA, Orders'!$C:$C,"Germany",'MAIN DATA, Orders'!$N:$N,"Einzelplan 14",'MAIN DATA, Orders'!$G:$G,{"Missile (Land)","Missile (Air)","Missile (Naval)"},'MAIN DATA, Orders'!$Q:$Q,$A34))</f>
        <v>0</v>
      </c>
      <c r="D34" s="17" cm="1">
        <f t="array" ref="D34">SUM(SUMIFS('MAIN DATA, Orders'!$I:$I,'MAIN DATA, Orders'!$C:$C,"Germany",'MAIN DATA, Orders'!$N:$N,"Sondervermögen",'MAIN DATA, Orders'!$G:$G,{"Missile (Land)","Missile (Air)","Missile (Naval)"},'MAIN DATA, Orders'!$Q:$Q,$A34))</f>
        <v>0</v>
      </c>
      <c r="E34" s="17" cm="1">
        <f t="array" ref="E34">SUM(SUMIFS('MAIN DATA, Orders'!$I:$I,'MAIN DATA, Orders'!$C:$C,"Germany",'MAIN DATA, Orders'!$N:$N,"Einzelplan 60",'MAIN DATA, Orders'!$G:$G,{"Missile (Land)","Missile (Air)","Missile (Naval)"},'MAIN DATA, Orders'!$Q:$Q,$A34))</f>
        <v>0</v>
      </c>
    </row>
    <row r="35" spans="1:5">
      <c r="A35" s="72">
        <v>29</v>
      </c>
      <c r="B35" s="68">
        <v>44682</v>
      </c>
      <c r="C35" s="17" cm="1">
        <f t="array" ref="C35">SUM(SUMIFS('MAIN DATA, Orders'!$I:$I,'MAIN DATA, Orders'!$C:$C,"Germany",'MAIN DATA, Orders'!$N:$N,"Einzelplan 14",'MAIN DATA, Orders'!$G:$G,{"Missile (Land)","Missile (Air)","Missile (Naval)"},'MAIN DATA, Orders'!$Q:$Q,$A35))</f>
        <v>0</v>
      </c>
      <c r="D35" s="17" cm="1">
        <f t="array" ref="D35">SUM(SUMIFS('MAIN DATA, Orders'!$I:$I,'MAIN DATA, Orders'!$C:$C,"Germany",'MAIN DATA, Orders'!$N:$N,"Sondervermögen",'MAIN DATA, Orders'!$G:$G,{"Missile (Land)","Missile (Air)","Missile (Naval)"},'MAIN DATA, Orders'!$Q:$Q,$A35))</f>
        <v>0</v>
      </c>
      <c r="E35" s="17" cm="1">
        <f t="array" ref="E35">SUM(SUMIFS('MAIN DATA, Orders'!$I:$I,'MAIN DATA, Orders'!$C:$C,"Germany",'MAIN DATA, Orders'!$N:$N,"Einzelplan 60",'MAIN DATA, Orders'!$G:$G,{"Missile (Land)","Missile (Air)","Missile (Naval)"},'MAIN DATA, Orders'!$Q:$Q,$A35))</f>
        <v>0</v>
      </c>
    </row>
    <row r="36" spans="1:5">
      <c r="A36" s="72">
        <v>30</v>
      </c>
      <c r="B36" s="68">
        <v>44713</v>
      </c>
      <c r="C36" s="17" cm="1">
        <f t="array" ref="C36">SUM(SUMIFS('MAIN DATA, Orders'!$I:$I,'MAIN DATA, Orders'!$C:$C,"Germany",'MAIN DATA, Orders'!$N:$N,"Einzelplan 14",'MAIN DATA, Orders'!$G:$G,{"Missile (Land)","Missile (Air)","Missile (Naval)"},'MAIN DATA, Orders'!$Q:$Q,$A36))</f>
        <v>0</v>
      </c>
      <c r="D36" s="17" cm="1">
        <f t="array" ref="D36">SUM(SUMIFS('MAIN DATA, Orders'!$I:$I,'MAIN DATA, Orders'!$C:$C,"Germany",'MAIN DATA, Orders'!$N:$N,"Sondervermögen",'MAIN DATA, Orders'!$G:$G,{"Missile (Land)","Missile (Air)","Missile (Naval)"},'MAIN DATA, Orders'!$Q:$Q,$A36))</f>
        <v>0</v>
      </c>
      <c r="E36" s="17" cm="1">
        <f t="array" ref="E36">SUM(SUMIFS('MAIN DATA, Orders'!$I:$I,'MAIN DATA, Orders'!$C:$C,"Germany",'MAIN DATA, Orders'!$N:$N,"Einzelplan 60",'MAIN DATA, Orders'!$G:$G,{"Missile (Land)","Missile (Air)","Missile (Naval)"},'MAIN DATA, Orders'!$Q:$Q,$A36))</f>
        <v>0</v>
      </c>
    </row>
    <row r="37" spans="1:5">
      <c r="A37" s="72">
        <v>31</v>
      </c>
      <c r="B37" s="68">
        <v>44743</v>
      </c>
      <c r="C37" s="17" cm="1">
        <f t="array" ref="C37">SUM(SUMIFS('MAIN DATA, Orders'!$I:$I,'MAIN DATA, Orders'!$C:$C,"Germany",'MAIN DATA, Orders'!$N:$N,"Einzelplan 14",'MAIN DATA, Orders'!$G:$G,{"Missile (Land)","Missile (Air)","Missile (Naval)"},'MAIN DATA, Orders'!$Q:$Q,$A37))</f>
        <v>0</v>
      </c>
      <c r="D37" s="17" cm="1">
        <f t="array" ref="D37">SUM(SUMIFS('MAIN DATA, Orders'!$I:$I,'MAIN DATA, Orders'!$C:$C,"Germany",'MAIN DATA, Orders'!$N:$N,"Sondervermögen",'MAIN DATA, Orders'!$G:$G,{"Missile (Land)","Missile (Air)","Missile (Naval)"},'MAIN DATA, Orders'!$Q:$Q,$A37))</f>
        <v>0</v>
      </c>
      <c r="E37" s="17" cm="1">
        <f t="array" ref="E37">SUM(SUMIFS('MAIN DATA, Orders'!$I:$I,'MAIN DATA, Orders'!$C:$C,"Germany",'MAIN DATA, Orders'!$N:$N,"Einzelplan 60",'MAIN DATA, Orders'!$G:$G,{"Missile (Land)","Missile (Air)","Missile (Naval)"},'MAIN DATA, Orders'!$Q:$Q,$A37))</f>
        <v>0</v>
      </c>
    </row>
    <row r="38" spans="1:5">
      <c r="A38" s="72">
        <v>32</v>
      </c>
      <c r="B38" s="68">
        <v>44774</v>
      </c>
      <c r="C38" s="17" cm="1">
        <f t="array" ref="C38">SUM(SUMIFS('MAIN DATA, Orders'!$I:$I,'MAIN DATA, Orders'!$C:$C,"Germany",'MAIN DATA, Orders'!$N:$N,"Einzelplan 14",'MAIN DATA, Orders'!$G:$G,{"Missile (Land)","Missile (Air)","Missile (Naval)"},'MAIN DATA, Orders'!$Q:$Q,$A38))</f>
        <v>0</v>
      </c>
      <c r="D38" s="17" cm="1">
        <f t="array" ref="D38">SUM(SUMIFS('MAIN DATA, Orders'!$I:$I,'MAIN DATA, Orders'!$C:$C,"Germany",'MAIN DATA, Orders'!$N:$N,"Sondervermögen",'MAIN DATA, Orders'!$G:$G,{"Missile (Land)","Missile (Air)","Missile (Naval)"},'MAIN DATA, Orders'!$Q:$Q,$A38))</f>
        <v>0</v>
      </c>
      <c r="E38" s="17" cm="1">
        <f t="array" ref="E38">SUM(SUMIFS('MAIN DATA, Orders'!$I:$I,'MAIN DATA, Orders'!$C:$C,"Germany",'MAIN DATA, Orders'!$N:$N,"Einzelplan 60",'MAIN DATA, Orders'!$G:$G,{"Missile (Land)","Missile (Air)","Missile (Naval)"},'MAIN DATA, Orders'!$Q:$Q,$A38))</f>
        <v>0</v>
      </c>
    </row>
    <row r="39" spans="1:5">
      <c r="A39" s="72">
        <v>33</v>
      </c>
      <c r="B39" s="68">
        <v>44805</v>
      </c>
      <c r="C39" s="17" cm="1">
        <f t="array" ref="C39">SUM(SUMIFS('MAIN DATA, Orders'!$I:$I,'MAIN DATA, Orders'!$C:$C,"Germany",'MAIN DATA, Orders'!$N:$N,"Einzelplan 14",'MAIN DATA, Orders'!$G:$G,{"Missile (Land)","Missile (Air)","Missile (Naval)"},'MAIN DATA, Orders'!$Q:$Q,$A39))</f>
        <v>600</v>
      </c>
      <c r="D39" s="17" cm="1">
        <f t="array" ref="D39">SUM(SUMIFS('MAIN DATA, Orders'!$I:$I,'MAIN DATA, Orders'!$C:$C,"Germany",'MAIN DATA, Orders'!$N:$N,"Sondervermögen",'MAIN DATA, Orders'!$G:$G,{"Missile (Land)","Missile (Air)","Missile (Naval)"},'MAIN DATA, Orders'!$Q:$Q,$A39))</f>
        <v>0</v>
      </c>
      <c r="E39" s="17" cm="1">
        <f t="array" ref="E39">SUM(SUMIFS('MAIN DATA, Orders'!$I:$I,'MAIN DATA, Orders'!$C:$C,"Germany",'MAIN DATA, Orders'!$N:$N,"Einzelplan 60",'MAIN DATA, Orders'!$G:$G,{"Missile (Land)","Missile (Air)","Missile (Naval)"},'MAIN DATA, Orders'!$Q:$Q,$A39))</f>
        <v>0</v>
      </c>
    </row>
    <row r="40" spans="1:5">
      <c r="A40" s="72">
        <v>34</v>
      </c>
      <c r="B40" s="68">
        <v>44835</v>
      </c>
      <c r="C40" s="17" cm="1">
        <f t="array" ref="C40">SUM(SUMIFS('MAIN DATA, Orders'!$I:$I,'MAIN DATA, Orders'!$C:$C,"Germany",'MAIN DATA, Orders'!$N:$N,"Einzelplan 14",'MAIN DATA, Orders'!$G:$G,{"Missile (Land)","Missile (Air)","Missile (Naval)"},'MAIN DATA, Orders'!$Q:$Q,$A40))</f>
        <v>0</v>
      </c>
      <c r="D40" s="17" cm="1">
        <f t="array" ref="D40">SUM(SUMIFS('MAIN DATA, Orders'!$I:$I,'MAIN DATA, Orders'!$C:$C,"Germany",'MAIN DATA, Orders'!$N:$N,"Sondervermögen",'MAIN DATA, Orders'!$G:$G,{"Missile (Land)","Missile (Air)","Missile (Naval)"},'MAIN DATA, Orders'!$Q:$Q,$A40))</f>
        <v>0</v>
      </c>
      <c r="E40" s="17" cm="1">
        <f t="array" ref="E40">SUM(SUMIFS('MAIN DATA, Orders'!$I:$I,'MAIN DATA, Orders'!$C:$C,"Germany",'MAIN DATA, Orders'!$N:$N,"Einzelplan 60",'MAIN DATA, Orders'!$G:$G,{"Missile (Land)","Missile (Air)","Missile (Naval)"},'MAIN DATA, Orders'!$Q:$Q,$A40))</f>
        <v>0</v>
      </c>
    </row>
    <row r="41" spans="1:5">
      <c r="A41" s="72">
        <v>35</v>
      </c>
      <c r="B41" s="68">
        <v>44866</v>
      </c>
      <c r="C41" s="17" cm="1">
        <f t="array" ref="C41">SUM(SUMIFS('MAIN DATA, Orders'!$I:$I,'MAIN DATA, Orders'!$C:$C,"Germany",'MAIN DATA, Orders'!$N:$N,"Einzelplan 14",'MAIN DATA, Orders'!$G:$G,{"Missile (Land)","Missile (Air)","Missile (Naval)"},'MAIN DATA, Orders'!$Q:$Q,$A41))</f>
        <v>0</v>
      </c>
      <c r="D41" s="17" cm="1">
        <f t="array" ref="D41">SUM(SUMIFS('MAIN DATA, Orders'!$I:$I,'MAIN DATA, Orders'!$C:$C,"Germany",'MAIN DATA, Orders'!$N:$N,"Sondervermögen",'MAIN DATA, Orders'!$G:$G,{"Missile (Land)","Missile (Air)","Missile (Naval)"},'MAIN DATA, Orders'!$Q:$Q,$A41))</f>
        <v>0</v>
      </c>
      <c r="E41" s="17" cm="1">
        <f t="array" ref="E41">SUM(SUMIFS('MAIN DATA, Orders'!$I:$I,'MAIN DATA, Orders'!$C:$C,"Germany",'MAIN DATA, Orders'!$N:$N,"Einzelplan 60",'MAIN DATA, Orders'!$G:$G,{"Missile (Land)","Missile (Air)","Missile (Naval)"},'MAIN DATA, Orders'!$Q:$Q,$A41))</f>
        <v>0</v>
      </c>
    </row>
    <row r="42" spans="1:5">
      <c r="A42" s="72">
        <v>36</v>
      </c>
      <c r="B42" s="68">
        <v>44896</v>
      </c>
      <c r="C42" s="17" cm="1">
        <f t="array" ref="C42">SUM(SUMIFS('MAIN DATA, Orders'!$I:$I,'MAIN DATA, Orders'!$C:$C,"Germany",'MAIN DATA, Orders'!$N:$N,"Einzelplan 14",'MAIN DATA, Orders'!$G:$G,{"Missile (Land)","Missile (Air)","Missile (Naval)"},'MAIN DATA, Orders'!$Q:$Q,$A42))</f>
        <v>0</v>
      </c>
      <c r="D42" s="17" cm="1">
        <f t="array" ref="D42">SUM(SUMIFS('MAIN DATA, Orders'!$I:$I,'MAIN DATA, Orders'!$C:$C,"Germany",'MAIN DATA, Orders'!$N:$N,"Sondervermögen",'MAIN DATA, Orders'!$G:$G,{"Missile (Land)","Missile (Air)","Missile (Naval)"},'MAIN DATA, Orders'!$Q:$Q,$A42))</f>
        <v>0</v>
      </c>
      <c r="E42" s="17" cm="1">
        <f t="array" ref="E42">SUM(SUMIFS('MAIN DATA, Orders'!$I:$I,'MAIN DATA, Orders'!$C:$C,"Germany",'MAIN DATA, Orders'!$N:$N,"Einzelplan 60",'MAIN DATA, Orders'!$G:$G,{"Missile (Land)","Missile (Air)","Missile (Naval)"},'MAIN DATA, Orders'!$Q:$Q,$A42))</f>
        <v>0</v>
      </c>
    </row>
    <row r="43" spans="1:5">
      <c r="A43" s="72">
        <v>37</v>
      </c>
      <c r="B43" s="68">
        <v>44927</v>
      </c>
      <c r="C43" s="17" cm="1">
        <f t="array" ref="C43">SUM(SUMIFS('MAIN DATA, Orders'!$I:$I,'MAIN DATA, Orders'!$C:$C,"Germany",'MAIN DATA, Orders'!$N:$N,"Einzelplan 14",'MAIN DATA, Orders'!$G:$G,{"Missile (Land)","Missile (Air)","Missile (Naval)"},'MAIN DATA, Orders'!$Q:$Q,$A43))</f>
        <v>0</v>
      </c>
      <c r="D43" s="17" cm="1">
        <f t="array" ref="D43">SUM(SUMIFS('MAIN DATA, Orders'!$I:$I,'MAIN DATA, Orders'!$C:$C,"Germany",'MAIN DATA, Orders'!$N:$N,"Sondervermögen",'MAIN DATA, Orders'!$G:$G,{"Missile (Land)","Missile (Air)","Missile (Naval)"},'MAIN DATA, Orders'!$Q:$Q,$A43))</f>
        <v>0</v>
      </c>
      <c r="E43" s="17" cm="1">
        <f t="array" ref="E43">SUM(SUMIFS('MAIN DATA, Orders'!$I:$I,'MAIN DATA, Orders'!$C:$C,"Germany",'MAIN DATA, Orders'!$N:$N,"Einzelplan 60",'MAIN DATA, Orders'!$G:$G,{"Missile (Land)","Missile (Air)","Missile (Naval)"},'MAIN DATA, Orders'!$Q:$Q,$A43))</f>
        <v>0</v>
      </c>
    </row>
    <row r="44" spans="1:5">
      <c r="A44" s="72">
        <v>38</v>
      </c>
      <c r="B44" s="68">
        <v>44958</v>
      </c>
      <c r="C44" s="17" cm="1">
        <f t="array" ref="C44">SUM(SUMIFS('MAIN DATA, Orders'!$I:$I,'MAIN DATA, Orders'!$C:$C,"Germany",'MAIN DATA, Orders'!$N:$N,"Einzelplan 14",'MAIN DATA, Orders'!$G:$G,{"Missile (Land)","Missile (Air)","Missile (Naval)"},'MAIN DATA, Orders'!$Q:$Q,$A44))</f>
        <v>0</v>
      </c>
      <c r="D44" s="17" cm="1">
        <f t="array" ref="D44">SUM(SUMIFS('MAIN DATA, Orders'!$I:$I,'MAIN DATA, Orders'!$C:$C,"Germany",'MAIN DATA, Orders'!$N:$N,"Sondervermögen",'MAIN DATA, Orders'!$G:$G,{"Missile (Land)","Missile (Air)","Missile (Naval)"},'MAIN DATA, Orders'!$Q:$Q,$A44))</f>
        <v>0</v>
      </c>
      <c r="E44" s="17" cm="1">
        <f t="array" ref="E44">SUM(SUMIFS('MAIN DATA, Orders'!$I:$I,'MAIN DATA, Orders'!$C:$C,"Germany",'MAIN DATA, Orders'!$N:$N,"Einzelplan 60",'MAIN DATA, Orders'!$G:$G,{"Missile (Land)","Missile (Air)","Missile (Naval)"},'MAIN DATA, Orders'!$Q:$Q,$A44))</f>
        <v>0</v>
      </c>
    </row>
    <row r="45" spans="1:5">
      <c r="A45" s="72">
        <v>39</v>
      </c>
      <c r="B45" s="68">
        <v>44986</v>
      </c>
      <c r="C45" s="17" cm="1">
        <f t="array" ref="C45">SUM(SUMIFS('MAIN DATA, Orders'!$I:$I,'MAIN DATA, Orders'!$C:$C,"Germany",'MAIN DATA, Orders'!$N:$N,"Einzelplan 14",'MAIN DATA, Orders'!$G:$G,{"Missile (Land)","Missile (Air)","Missile (Naval)"},'MAIN DATA, Orders'!$Q:$Q,$A45))</f>
        <v>0</v>
      </c>
      <c r="D45" s="17" cm="1">
        <f t="array" ref="D45">SUM(SUMIFS('MAIN DATA, Orders'!$I:$I,'MAIN DATA, Orders'!$C:$C,"Germany",'MAIN DATA, Orders'!$N:$N,"Sondervermögen",'MAIN DATA, Orders'!$G:$G,{"Missile (Land)","Missile (Air)","Missile (Naval)"},'MAIN DATA, Orders'!$Q:$Q,$A45))</f>
        <v>0</v>
      </c>
      <c r="E45" s="17" cm="1">
        <f t="array" ref="E45">SUM(SUMIFS('MAIN DATA, Orders'!$I:$I,'MAIN DATA, Orders'!$C:$C,"Germany",'MAIN DATA, Orders'!$N:$N,"Einzelplan 60",'MAIN DATA, Orders'!$G:$G,{"Missile (Land)","Missile (Air)","Missile (Naval)"},'MAIN DATA, Orders'!$Q:$Q,$A45))</f>
        <v>0</v>
      </c>
    </row>
    <row r="46" spans="1:5">
      <c r="A46" s="72">
        <v>40</v>
      </c>
      <c r="B46" s="68">
        <v>45017</v>
      </c>
      <c r="C46" s="17" cm="1">
        <f t="array" ref="C46">SUM(SUMIFS('MAIN DATA, Orders'!$I:$I,'MAIN DATA, Orders'!$C:$C,"Germany",'MAIN DATA, Orders'!$N:$N,"Einzelplan 14",'MAIN DATA, Orders'!$G:$G,{"Missile (Land)","Missile (Air)","Missile (Naval)"},'MAIN DATA, Orders'!$Q:$Q,$A46))</f>
        <v>0</v>
      </c>
      <c r="D46" s="17" cm="1">
        <f t="array" ref="D46">SUM(SUMIFS('MAIN DATA, Orders'!$I:$I,'MAIN DATA, Orders'!$C:$C,"Germany",'MAIN DATA, Orders'!$N:$N,"Sondervermögen",'MAIN DATA, Orders'!$G:$G,{"Missile (Land)","Missile (Air)","Missile (Naval)"},'MAIN DATA, Orders'!$Q:$Q,$A46))</f>
        <v>0</v>
      </c>
      <c r="E46" s="17" cm="1">
        <f t="array" ref="E46">SUM(SUMIFS('MAIN DATA, Orders'!$I:$I,'MAIN DATA, Orders'!$C:$C,"Germany",'MAIN DATA, Orders'!$N:$N,"Einzelplan 60",'MAIN DATA, Orders'!$G:$G,{"Missile (Land)","Missile (Air)","Missile (Naval)"},'MAIN DATA, Orders'!$Q:$Q,$A46))</f>
        <v>0</v>
      </c>
    </row>
    <row r="47" spans="1:5">
      <c r="A47" s="72">
        <v>41</v>
      </c>
      <c r="B47" s="68">
        <v>45047</v>
      </c>
      <c r="C47" s="17" cm="1">
        <f t="array" ref="C47">SUM(SUMIFS('MAIN DATA, Orders'!$I:$I,'MAIN DATA, Orders'!$C:$C,"Germany",'MAIN DATA, Orders'!$N:$N,"Einzelplan 14",'MAIN DATA, Orders'!$G:$G,{"Missile (Land)","Missile (Air)","Missile (Naval)"},'MAIN DATA, Orders'!$Q:$Q,$A47))</f>
        <v>0</v>
      </c>
      <c r="D47" s="17" cm="1">
        <f t="array" ref="D47">SUM(SUMIFS('MAIN DATA, Orders'!$I:$I,'MAIN DATA, Orders'!$C:$C,"Germany",'MAIN DATA, Orders'!$N:$N,"Sondervermögen",'MAIN DATA, Orders'!$G:$G,{"Missile (Land)","Missile (Air)","Missile (Naval)"},'MAIN DATA, Orders'!$Q:$Q,$A47))</f>
        <v>0</v>
      </c>
      <c r="E47" s="17" cm="1">
        <f t="array" ref="E47">SUM(SUMIFS('MAIN DATA, Orders'!$I:$I,'MAIN DATA, Orders'!$C:$C,"Germany",'MAIN DATA, Orders'!$N:$N,"Einzelplan 60",'MAIN DATA, Orders'!$G:$G,{"Missile (Land)","Missile (Air)","Missile (Naval)"},'MAIN DATA, Orders'!$Q:$Q,$A47))</f>
        <v>0</v>
      </c>
    </row>
    <row r="48" spans="1:5">
      <c r="A48" s="72">
        <v>42</v>
      </c>
      <c r="B48" s="68">
        <v>45078</v>
      </c>
      <c r="C48" s="17" cm="1">
        <f t="array" ref="C48">SUM(SUMIFS('MAIN DATA, Orders'!$I:$I,'MAIN DATA, Orders'!$C:$C,"Germany",'MAIN DATA, Orders'!$N:$N,"Einzelplan 14",'MAIN DATA, Orders'!$G:$G,{"Missile (Land)","Missile (Air)","Missile (Naval)"},'MAIN DATA, Orders'!$Q:$Q,$A48))</f>
        <v>0</v>
      </c>
      <c r="D48" s="17" cm="1">
        <f t="array" ref="D48">SUM(SUMIFS('MAIN DATA, Orders'!$I:$I,'MAIN DATA, Orders'!$C:$C,"Germany",'MAIN DATA, Orders'!$N:$N,"Sondervermögen",'MAIN DATA, Orders'!$G:$G,{"Missile (Land)","Missile (Air)","Missile (Naval)"},'MAIN DATA, Orders'!$Q:$Q,$A48))</f>
        <v>0</v>
      </c>
      <c r="E48" s="17" cm="1">
        <f t="array" ref="E48">SUM(SUMIFS('MAIN DATA, Orders'!$I:$I,'MAIN DATA, Orders'!$C:$C,"Germany",'MAIN DATA, Orders'!$N:$N,"Einzelplan 60",'MAIN DATA, Orders'!$G:$G,{"Missile (Land)","Missile (Air)","Missile (Naval)"},'MAIN DATA, Orders'!$Q:$Q,$A48))</f>
        <v>0</v>
      </c>
    </row>
    <row r="49" spans="1:5">
      <c r="A49" s="72">
        <v>43</v>
      </c>
      <c r="B49" s="68">
        <v>45108</v>
      </c>
      <c r="C49" s="17" cm="1">
        <f t="array" ref="C49">SUM(SUMIFS('MAIN DATA, Orders'!$I:$I,'MAIN DATA, Orders'!$C:$C,"Germany",'MAIN DATA, Orders'!$N:$N,"Einzelplan 14",'MAIN DATA, Orders'!$G:$G,{"Missile (Land)","Missile (Air)","Missile (Naval)"},'MAIN DATA, Orders'!$Q:$Q,$A49))</f>
        <v>0</v>
      </c>
      <c r="D49" s="17" cm="1">
        <f t="array" ref="D49">SUM(SUMIFS('MAIN DATA, Orders'!$I:$I,'MAIN DATA, Orders'!$C:$C,"Germany",'MAIN DATA, Orders'!$N:$N,"Sondervermögen",'MAIN DATA, Orders'!$G:$G,{"Missile (Land)","Missile (Air)","Missile (Naval)"},'MAIN DATA, Orders'!$Q:$Q,$A49))</f>
        <v>0</v>
      </c>
      <c r="E49" s="17" cm="1">
        <f t="array" ref="E49">SUM(SUMIFS('MAIN DATA, Orders'!$I:$I,'MAIN DATA, Orders'!$C:$C,"Germany",'MAIN DATA, Orders'!$N:$N,"Einzelplan 60",'MAIN DATA, Orders'!$G:$G,{"Missile (Land)","Missile (Air)","Missile (Naval)"},'MAIN DATA, Orders'!$Q:$Q,$A49))</f>
        <v>0</v>
      </c>
    </row>
    <row r="50" spans="1:5">
      <c r="A50" s="72">
        <v>44</v>
      </c>
      <c r="B50" s="68">
        <v>45139</v>
      </c>
      <c r="C50" s="17" cm="1">
        <f t="array" ref="C50">SUM(SUMIFS('MAIN DATA, Orders'!$I:$I,'MAIN DATA, Orders'!$C:$C,"Germany",'MAIN DATA, Orders'!$N:$N,"Einzelplan 14",'MAIN DATA, Orders'!$G:$G,{"Missile (Land)","Missile (Air)","Missile (Naval)"},'MAIN DATA, Orders'!$Q:$Q,$A50))</f>
        <v>0</v>
      </c>
      <c r="D50" s="17" cm="1">
        <f t="array" ref="D50">SUM(SUMIFS('MAIN DATA, Orders'!$I:$I,'MAIN DATA, Orders'!$C:$C,"Germany",'MAIN DATA, Orders'!$N:$N,"Sondervermögen",'MAIN DATA, Orders'!$G:$G,{"Missile (Land)","Missile (Air)","Missile (Naval)"},'MAIN DATA, Orders'!$Q:$Q,$A50))</f>
        <v>0</v>
      </c>
      <c r="E50" s="17" cm="1">
        <f t="array" ref="E50">SUM(SUMIFS('MAIN DATA, Orders'!$I:$I,'MAIN DATA, Orders'!$C:$C,"Germany",'MAIN DATA, Orders'!$N:$N,"Einzelplan 60",'MAIN DATA, Orders'!$G:$G,{"Missile (Land)","Missile (Air)","Missile (Naval)"},'MAIN DATA, Orders'!$Q:$Q,$A50))</f>
        <v>0</v>
      </c>
    </row>
    <row r="51" spans="1:5">
      <c r="A51" s="72">
        <v>45</v>
      </c>
      <c r="B51" s="68">
        <v>45170</v>
      </c>
      <c r="C51" s="17" cm="1">
        <f t="array" ref="C51">SUM(SUMIFS('MAIN DATA, Orders'!$I:$I,'MAIN DATA, Orders'!$C:$C,"Germany",'MAIN DATA, Orders'!$N:$N,"Einzelplan 14",'MAIN DATA, Orders'!$G:$G,{"Missile (Land)","Missile (Air)","Missile (Naval)"},'MAIN DATA, Orders'!$Q:$Q,$A51))</f>
        <v>0</v>
      </c>
      <c r="D51" s="17" cm="1">
        <f t="array" ref="D51">SUM(SUMIFS('MAIN DATA, Orders'!$I:$I,'MAIN DATA, Orders'!$C:$C,"Germany",'MAIN DATA, Orders'!$N:$N,"Sondervermögen",'MAIN DATA, Orders'!$G:$G,{"Missile (Land)","Missile (Air)","Missile (Naval)"},'MAIN DATA, Orders'!$Q:$Q,$A51))</f>
        <v>0</v>
      </c>
      <c r="E51" s="17" cm="1">
        <f t="array" ref="E51">SUM(SUMIFS('MAIN DATA, Orders'!$I:$I,'MAIN DATA, Orders'!$C:$C,"Germany",'MAIN DATA, Orders'!$N:$N,"Einzelplan 60",'MAIN DATA, Orders'!$G:$G,{"Missile (Land)","Missile (Air)","Missile (Naval)"},'MAIN DATA, Orders'!$Q:$Q,$A51))</f>
        <v>0</v>
      </c>
    </row>
    <row r="52" spans="1:5">
      <c r="A52" s="72">
        <v>46</v>
      </c>
      <c r="B52" s="68">
        <v>45200</v>
      </c>
      <c r="C52" s="17" cm="1">
        <f t="array" ref="C52">SUM(SUMIFS('MAIN DATA, Orders'!$I:$I,'MAIN DATA, Orders'!$C:$C,"Germany",'MAIN DATA, Orders'!$N:$N,"Einzelplan 14",'MAIN DATA, Orders'!$G:$G,{"Missile (Land)","Missile (Air)","Missile (Naval)"},'MAIN DATA, Orders'!$Q:$Q,$A52))</f>
        <v>0</v>
      </c>
      <c r="D52" s="17" cm="1">
        <f t="array" ref="D52">SUM(SUMIFS('MAIN DATA, Orders'!$I:$I,'MAIN DATA, Orders'!$C:$C,"Germany",'MAIN DATA, Orders'!$N:$N,"Sondervermögen",'MAIN DATA, Orders'!$G:$G,{"Missile (Land)","Missile (Air)","Missile (Naval)"},'MAIN DATA, Orders'!$Q:$Q,$A52))</f>
        <v>0</v>
      </c>
      <c r="E52" s="17" cm="1">
        <f t="array" ref="E52">SUM(SUMIFS('MAIN DATA, Orders'!$I:$I,'MAIN DATA, Orders'!$C:$C,"Germany",'MAIN DATA, Orders'!$N:$N,"Einzelplan 60",'MAIN DATA, Orders'!$G:$G,{"Missile (Land)","Missile (Air)","Missile (Naval)"},'MAIN DATA, Orders'!$Q:$Q,$A52))</f>
        <v>0</v>
      </c>
    </row>
    <row r="53" spans="1:5">
      <c r="A53" s="72">
        <v>47</v>
      </c>
      <c r="B53" s="68">
        <v>45231</v>
      </c>
      <c r="C53" s="17" cm="1">
        <f t="array" ref="C53">SUM(SUMIFS('MAIN DATA, Orders'!$I:$I,'MAIN DATA, Orders'!$C:$C,"Germany",'MAIN DATA, Orders'!$N:$N,"Einzelplan 14",'MAIN DATA, Orders'!$G:$G,{"Missile (Land)","Missile (Air)","Missile (Naval)"},'MAIN DATA, Orders'!$Q:$Q,$A53))</f>
        <v>0</v>
      </c>
      <c r="D53" s="17" cm="1">
        <f t="array" ref="D53">SUM(SUMIFS('MAIN DATA, Orders'!$I:$I,'MAIN DATA, Orders'!$C:$C,"Germany",'MAIN DATA, Orders'!$N:$N,"Sondervermögen",'MAIN DATA, Orders'!$G:$G,{"Missile (Land)","Missile (Air)","Missile (Naval)"},'MAIN DATA, Orders'!$Q:$Q,$A53))</f>
        <v>0</v>
      </c>
      <c r="E53" s="17" cm="1">
        <f t="array" ref="E53">SUM(SUMIFS('MAIN DATA, Orders'!$I:$I,'MAIN DATA, Orders'!$C:$C,"Germany",'MAIN DATA, Orders'!$N:$N,"Einzelplan 60",'MAIN DATA, Orders'!$G:$G,{"Missile (Land)","Missile (Air)","Missile (Naval)"},'MAIN DATA, Orders'!$Q:$Q,$A53))</f>
        <v>0</v>
      </c>
    </row>
    <row r="54" spans="1:5">
      <c r="A54" s="72">
        <v>48</v>
      </c>
      <c r="B54" s="68">
        <v>45261</v>
      </c>
      <c r="C54" s="17" cm="1">
        <f t="array" ref="C54">SUM(SUMIFS('MAIN DATA, Orders'!$I:$I,'MAIN DATA, Orders'!$C:$C,"Germany",'MAIN DATA, Orders'!$N:$N,"Einzelplan 14",'MAIN DATA, Orders'!$G:$G,{"Missile (Land)","Missile (Air)","Missile (Naval)"},'MAIN DATA, Orders'!$Q:$Q,$A54))</f>
        <v>0</v>
      </c>
      <c r="D54" s="17" cm="1">
        <f t="array" ref="D54">SUM(SUMIFS('MAIN DATA, Orders'!$I:$I,'MAIN DATA, Orders'!$C:$C,"Germany",'MAIN DATA, Orders'!$N:$N,"Sondervermögen",'MAIN DATA, Orders'!$G:$G,{"Missile (Land)","Missile (Air)","Missile (Naval)"},'MAIN DATA, Orders'!$Q:$Q,$A54))</f>
        <v>400</v>
      </c>
      <c r="E54" s="17" cm="1">
        <f t="array" ref="E54">SUM(SUMIFS('MAIN DATA, Orders'!$I:$I,'MAIN DATA, Orders'!$C:$C,"Germany",'MAIN DATA, Orders'!$N:$N,"Einzelplan 60",'MAIN DATA, Orders'!$G:$G,{"Missile (Land)","Missile (Air)","Missile (Naval)"},'MAIN DATA, Orders'!$Q:$Q,$A54))</f>
        <v>220</v>
      </c>
    </row>
    <row r="55" spans="1:5">
      <c r="A55" s="72">
        <v>49</v>
      </c>
      <c r="B55" s="68">
        <v>45292</v>
      </c>
      <c r="C55" s="17" cm="1">
        <f t="array" ref="C55">SUM(SUMIFS('MAIN DATA, Orders'!$I:$I,'MAIN DATA, Orders'!$C:$C,"Germany",'MAIN DATA, Orders'!$N:$N,"Einzelplan 14",'MAIN DATA, Orders'!$G:$G,{"Missile (Land)","Missile (Air)","Missile (Naval)"},'MAIN DATA, Orders'!$Q:$Q,$A55))</f>
        <v>0</v>
      </c>
      <c r="D55" s="17" cm="1">
        <f t="array" ref="D55">SUM(SUMIFS('MAIN DATA, Orders'!$I:$I,'MAIN DATA, Orders'!$C:$C,"Germany",'MAIN DATA, Orders'!$N:$N,"Sondervermögen",'MAIN DATA, Orders'!$G:$G,{"Missile (Land)","Missile (Air)","Missile (Naval)"},'MAIN DATA, Orders'!$Q:$Q,$A55))</f>
        <v>0</v>
      </c>
      <c r="E55" s="17" cm="1">
        <f t="array" ref="E55">SUM(SUMIFS('MAIN DATA, Orders'!$I:$I,'MAIN DATA, Orders'!$C:$C,"Germany",'MAIN DATA, Orders'!$N:$N,"Einzelplan 60",'MAIN DATA, Orders'!$G:$G,{"Missile (Land)","Missile (Air)","Missile (Naval)"},'MAIN DATA, Orders'!$Q:$Q,$A55))</f>
        <v>0</v>
      </c>
    </row>
    <row r="56" spans="1:5">
      <c r="A56" s="72">
        <v>50</v>
      </c>
      <c r="B56" s="68">
        <v>45323</v>
      </c>
      <c r="C56" s="17" cm="1">
        <f t="array" ref="C56">SUM(SUMIFS('MAIN DATA, Orders'!$I:$I,'MAIN DATA, Orders'!$C:$C,"Germany",'MAIN DATA, Orders'!$N:$N,"Einzelplan 14",'MAIN DATA, Orders'!$G:$G,{"Missile (Land)","Missile (Air)","Missile (Naval)"},'MAIN DATA, Orders'!$Q:$Q,$A56))</f>
        <v>0</v>
      </c>
      <c r="D56" s="17" cm="1">
        <f t="array" ref="D56">SUM(SUMIFS('MAIN DATA, Orders'!$I:$I,'MAIN DATA, Orders'!$C:$C,"Germany",'MAIN DATA, Orders'!$N:$N,"Sondervermögen",'MAIN DATA, Orders'!$G:$G,{"Missile (Land)","Missile (Air)","Missile (Naval)"},'MAIN DATA, Orders'!$Q:$Q,$A56))</f>
        <v>0</v>
      </c>
      <c r="E56" s="17" cm="1">
        <f t="array" ref="E56">SUM(SUMIFS('MAIN DATA, Orders'!$I:$I,'MAIN DATA, Orders'!$C:$C,"Germany",'MAIN DATA, Orders'!$N:$N,"Einzelplan 60",'MAIN DATA, Orders'!$G:$G,{"Missile (Land)","Missile (Air)","Missile (Naval)"},'MAIN DATA, Orders'!$Q:$Q,$A56))</f>
        <v>0</v>
      </c>
    </row>
    <row r="57" spans="1:5">
      <c r="A57" s="72">
        <v>51</v>
      </c>
      <c r="B57" s="68">
        <v>45352</v>
      </c>
      <c r="C57" s="17" cm="1">
        <f t="array" ref="C57">SUM(SUMIFS('MAIN DATA, Orders'!$I:$I,'MAIN DATA, Orders'!$C:$C,"Germany",'MAIN DATA, Orders'!$N:$N,"Einzelplan 14",'MAIN DATA, Orders'!$G:$G,{"Missile (Land)","Missile (Air)","Missile (Naval)"},'MAIN DATA, Orders'!$Q:$Q,$A57))</f>
        <v>0</v>
      </c>
      <c r="D57" s="17" cm="1">
        <f t="array" ref="D57">SUM(SUMIFS('MAIN DATA, Orders'!$I:$I,'MAIN DATA, Orders'!$C:$C,"Germany",'MAIN DATA, Orders'!$N:$N,"Sondervermögen",'MAIN DATA, Orders'!$G:$G,{"Missile (Land)","Missile (Air)","Missile (Naval)"},'MAIN DATA, Orders'!$Q:$Q,$A57))</f>
        <v>0</v>
      </c>
      <c r="E57" s="17" cm="1">
        <f t="array" ref="E57">SUM(SUMIFS('MAIN DATA, Orders'!$I:$I,'MAIN DATA, Orders'!$C:$C,"Germany",'MAIN DATA, Orders'!$N:$N,"Einzelplan 60",'MAIN DATA, Orders'!$G:$G,{"Missile (Land)","Missile (Air)","Missile (Naval)"},'MAIN DATA, Orders'!$Q:$Q,$A57))</f>
        <v>0</v>
      </c>
    </row>
    <row r="58" spans="1:5">
      <c r="A58" s="72">
        <v>52</v>
      </c>
      <c r="B58" s="68">
        <v>45383</v>
      </c>
      <c r="C58" s="17" cm="1">
        <f t="array" ref="C58">SUM(SUMIFS('MAIN DATA, Orders'!$I:$I,'MAIN DATA, Orders'!$C:$C,"Germany",'MAIN DATA, Orders'!$N:$N,"Einzelplan 14",'MAIN DATA, Orders'!$G:$G,{"Missile (Land)","Missile (Air)","Missile (Naval)"},'MAIN DATA, Orders'!$Q:$Q,$A58))</f>
        <v>0</v>
      </c>
      <c r="D58" s="17" cm="1">
        <f t="array" ref="D58">SUM(SUMIFS('MAIN DATA, Orders'!$I:$I,'MAIN DATA, Orders'!$C:$C,"Germany",'MAIN DATA, Orders'!$N:$N,"Sondervermögen",'MAIN DATA, Orders'!$G:$G,{"Missile (Land)","Missile (Air)","Missile (Naval)"},'MAIN DATA, Orders'!$Q:$Q,$A58))</f>
        <v>0</v>
      </c>
      <c r="E58" s="17" cm="1">
        <f t="array" ref="E58">SUM(SUMIFS('MAIN DATA, Orders'!$I:$I,'MAIN DATA, Orders'!$C:$C,"Germany",'MAIN DATA, Orders'!$N:$N,"Einzelplan 60",'MAIN DATA, Orders'!$G:$G,{"Missile (Land)","Missile (Air)","Missile (Naval)"},'MAIN DATA, Orders'!$Q:$Q,$A58))</f>
        <v>0</v>
      </c>
    </row>
    <row r="59" spans="1:5">
      <c r="A59" s="72">
        <v>53</v>
      </c>
      <c r="B59" s="68">
        <v>45413</v>
      </c>
      <c r="C59" s="17" cm="1">
        <f t="array" ref="C59">SUM(SUMIFS('MAIN DATA, Orders'!$I:$I,'MAIN DATA, Orders'!$C:$C,"Germany",'MAIN DATA, Orders'!$N:$N,"Einzelplan 14",'MAIN DATA, Orders'!$G:$G,{"Missile (Land)","Missile (Air)","Missile (Naval)"},'MAIN DATA, Orders'!$Q:$Q,$A59))</f>
        <v>0</v>
      </c>
      <c r="D59" s="17" cm="1">
        <f t="array" ref="D59">SUM(SUMIFS('MAIN DATA, Orders'!$I:$I,'MAIN DATA, Orders'!$C:$C,"Germany",'MAIN DATA, Orders'!$N:$N,"Sondervermögen",'MAIN DATA, Orders'!$G:$G,{"Missile (Land)","Missile (Air)","Missile (Naval)"},'MAIN DATA, Orders'!$Q:$Q,$A59))</f>
        <v>0</v>
      </c>
      <c r="E59" s="17" cm="1">
        <f t="array" ref="E59">SUM(SUMIFS('MAIN DATA, Orders'!$I:$I,'MAIN DATA, Orders'!$C:$C,"Germany",'MAIN DATA, Orders'!$N:$N,"Einzelplan 60",'MAIN DATA, Orders'!$G:$G,{"Missile (Land)","Missile (Air)","Missile (Naval)"},'MAIN DATA, Orders'!$Q:$Q,$A59))</f>
        <v>0</v>
      </c>
    </row>
    <row r="60" spans="1:5">
      <c r="A60" s="72">
        <v>54</v>
      </c>
      <c r="B60" s="68">
        <v>45444</v>
      </c>
      <c r="C60" s="17" cm="1">
        <f t="array" ref="C60">SUM(SUMIFS('MAIN DATA, Orders'!$I:$I,'MAIN DATA, Orders'!$C:$C,"Germany",'MAIN DATA, Orders'!$N:$N,"Einzelplan 14",'MAIN DATA, Orders'!$G:$G,{"Missile (Land)","Missile (Air)","Missile (Naval)"},'MAIN DATA, Orders'!$Q:$Q,$A60))</f>
        <v>0</v>
      </c>
      <c r="D60" s="17" cm="1">
        <f t="array" ref="D60">SUM(SUMIFS('MAIN DATA, Orders'!$I:$I,'MAIN DATA, Orders'!$C:$C,"Germany",'MAIN DATA, Orders'!$N:$N,"Sondervermögen",'MAIN DATA, Orders'!$G:$G,{"Missile (Land)","Missile (Air)","Missile (Naval)"},'MAIN DATA, Orders'!$Q:$Q,$A60))</f>
        <v>274</v>
      </c>
      <c r="E60" s="17" cm="1">
        <f t="array" ref="E60">SUM(SUMIFS('MAIN DATA, Orders'!$I:$I,'MAIN DATA, Orders'!$C:$C,"Germany",'MAIN DATA, Orders'!$N:$N,"Einzelplan 60",'MAIN DATA, Orders'!$G:$G,{"Missile (Land)","Missile (Air)","Missile (Naval)"},'MAIN DATA, Orders'!$Q:$Q,$A60))</f>
        <v>506</v>
      </c>
    </row>
    <row r="61" spans="1:5">
      <c r="A61" s="72">
        <v>55</v>
      </c>
      <c r="B61" s="155">
        <v>45474</v>
      </c>
      <c r="C61" s="60" cm="1">
        <f t="array" ref="C61">SUM(SUMIFS('MAIN DATA, Orders'!$I:$I,'MAIN DATA, Orders'!$C:$C,"Germany",'MAIN DATA, Orders'!$N:$N,"Einzelplan 14",'MAIN DATA, Orders'!$G:$G,{"Missile (Land)","Missile (Air)","Missile (Naval)"},'MAIN DATA, Orders'!$Q:$Q,$A61))</f>
        <v>0</v>
      </c>
      <c r="D61" s="60" cm="1">
        <f t="array" ref="D61">SUM(SUMIFS('MAIN DATA, Orders'!$I:$I,'MAIN DATA, Orders'!$C:$C,"Germany",'MAIN DATA, Orders'!$N:$N,"Sondervermögen",'MAIN DATA, Orders'!$G:$G,{"Missile (Land)","Missile (Air)","Missile (Naval)"},'MAIN DATA, Orders'!$Q:$Q,$A61))</f>
        <v>0</v>
      </c>
      <c r="E61" s="60" cm="1">
        <f t="array" ref="E61">SUM(SUMIFS('MAIN DATA, Orders'!$I:$I,'MAIN DATA, Orders'!$C:$C,"Germany",'MAIN DATA, Orders'!$N:$N,"Einzelplan 60",'MAIN DATA, Orders'!$G:$G,{"Missile (Land)","Missile (Air)","Missile (Naval)"},'MAIN DATA, Orders'!$Q:$Q,$A61))</f>
        <v>100</v>
      </c>
    </row>
    <row r="62" spans="1:5">
      <c r="A62" s="199"/>
      <c r="B62" s="199"/>
      <c r="C62" s="199"/>
      <c r="D62" s="199"/>
      <c r="E62" s="199"/>
    </row>
    <row r="63" spans="1:5">
      <c r="A63" s="199"/>
      <c r="B63" s="71" t="s">
        <v>1431</v>
      </c>
      <c r="C63" s="71">
        <f>SUM(C7:C61)</f>
        <v>1423</v>
      </c>
      <c r="D63" s="71">
        <f>SUM(D7:D61)</f>
        <v>674</v>
      </c>
      <c r="E63" s="71">
        <f>SUM(E7:E61)</f>
        <v>826</v>
      </c>
    </row>
  </sheetData>
  <mergeCells count="1">
    <mergeCell ref="B4:F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47858-4C98-4C50-8120-13D2845EB5D2}">
  <sheetPr>
    <tabColor theme="3" tint="0.749992370372631"/>
  </sheetPr>
  <dimension ref="A1:AM19"/>
  <sheetViews>
    <sheetView workbookViewId="0">
      <pane ySplit="1" topLeftCell="A2" activePane="bottomLeft" state="frozen"/>
      <selection pane="bottomLeft"/>
    </sheetView>
  </sheetViews>
  <sheetFormatPr defaultRowHeight="15.6"/>
  <cols>
    <col min="1" max="1" width="13.3984375" bestFit="1" customWidth="1"/>
    <col min="2" max="2" width="17.69921875" bestFit="1" customWidth="1"/>
    <col min="3" max="3" width="19.3984375" bestFit="1" customWidth="1"/>
    <col min="4" max="4" width="25.69921875" customWidth="1"/>
    <col min="5" max="5" width="35.59765625" bestFit="1" customWidth="1"/>
    <col min="6" max="6" width="17.69921875" bestFit="1" customWidth="1"/>
    <col min="7" max="7" width="13.09765625" bestFit="1" customWidth="1"/>
    <col min="8" max="8" width="11.69921875" bestFit="1" customWidth="1"/>
    <col min="9" max="9" width="15.09765625" bestFit="1" customWidth="1"/>
    <col min="10" max="10" width="23.59765625" bestFit="1" customWidth="1"/>
    <col min="11" max="11" width="21.19921875" bestFit="1" customWidth="1"/>
    <col min="12" max="12" width="16.3984375" bestFit="1" customWidth="1"/>
    <col min="13" max="13" width="18.69921875" bestFit="1" customWidth="1"/>
    <col min="14" max="14" width="21.59765625" bestFit="1" customWidth="1"/>
    <col min="15" max="15" width="13.3984375" bestFit="1" customWidth="1"/>
    <col min="16" max="21" width="14.69921875" customWidth="1"/>
    <col min="22" max="22" width="16.8984375" customWidth="1"/>
    <col min="23" max="23" width="19.59765625" bestFit="1" customWidth="1"/>
    <col min="24" max="24" width="21.69921875" customWidth="1"/>
    <col min="25" max="25" width="12.19921875" bestFit="1" customWidth="1"/>
    <col min="26" max="26" width="13.69921875" customWidth="1"/>
    <col min="30" max="31" width="11.09765625" customWidth="1"/>
    <col min="32" max="32" width="11.19921875" customWidth="1"/>
    <col min="33" max="35" width="10.69921875" bestFit="1" customWidth="1"/>
    <col min="36" max="36" width="15.09765625" customWidth="1"/>
    <col min="37" max="37" width="15.3984375" customWidth="1"/>
    <col min="38" max="38" width="15.69921875" customWidth="1"/>
  </cols>
  <sheetData>
    <row r="1" spans="1:39">
      <c r="A1" s="86" t="s">
        <v>22</v>
      </c>
      <c r="B1" s="86" t="s">
        <v>26</v>
      </c>
      <c r="C1" s="86" t="s">
        <v>28</v>
      </c>
      <c r="D1" s="86" t="s">
        <v>30</v>
      </c>
      <c r="E1" s="86" t="s">
        <v>32</v>
      </c>
      <c r="F1" s="86" t="s">
        <v>34</v>
      </c>
      <c r="G1" s="86" t="s">
        <v>36</v>
      </c>
      <c r="H1" s="86" t="s">
        <v>38</v>
      </c>
      <c r="I1" s="86" t="s">
        <v>40</v>
      </c>
      <c r="J1" s="86" t="s">
        <v>42</v>
      </c>
      <c r="K1" s="86" t="s">
        <v>44</v>
      </c>
      <c r="L1" s="86" t="s">
        <v>46</v>
      </c>
      <c r="M1" s="86" t="s">
        <v>127</v>
      </c>
      <c r="N1" s="86" t="s">
        <v>129</v>
      </c>
      <c r="O1" s="86" t="s">
        <v>131</v>
      </c>
      <c r="P1" s="86" t="s">
        <v>54</v>
      </c>
      <c r="Q1" s="86" t="s">
        <v>134</v>
      </c>
      <c r="R1" s="86" t="s">
        <v>136</v>
      </c>
      <c r="S1" s="86" t="s">
        <v>63</v>
      </c>
      <c r="T1" s="86" t="s">
        <v>65</v>
      </c>
      <c r="U1" s="86" t="s">
        <v>67</v>
      </c>
      <c r="V1" s="86" t="s">
        <v>69</v>
      </c>
      <c r="W1" s="86" t="s">
        <v>71</v>
      </c>
      <c r="X1" s="86" t="s">
        <v>73</v>
      </c>
      <c r="Y1" s="86" t="s">
        <v>75</v>
      </c>
      <c r="Z1" s="86" t="s">
        <v>83</v>
      </c>
      <c r="AA1" s="86" t="s">
        <v>105</v>
      </c>
      <c r="AB1" s="86" t="s">
        <v>107</v>
      </c>
      <c r="AC1" s="86" t="s">
        <v>109</v>
      </c>
      <c r="AD1" s="86" t="s">
        <v>111</v>
      </c>
      <c r="AE1" s="86" t="s">
        <v>113</v>
      </c>
      <c r="AF1" s="86" t="s">
        <v>115</v>
      </c>
      <c r="AG1" s="86" t="s">
        <v>149</v>
      </c>
      <c r="AH1" s="86" t="s">
        <v>151</v>
      </c>
      <c r="AI1" s="86" t="s">
        <v>153</v>
      </c>
      <c r="AJ1" s="86" t="s">
        <v>155</v>
      </c>
      <c r="AK1" s="86" t="s">
        <v>157</v>
      </c>
      <c r="AL1" s="86" t="s">
        <v>159</v>
      </c>
    </row>
    <row r="2" spans="1:39">
      <c r="A2" s="10" t="s">
        <v>953</v>
      </c>
      <c r="B2" s="10" t="s">
        <v>163</v>
      </c>
      <c r="C2" s="87" t="s">
        <v>162</v>
      </c>
      <c r="D2" s="10" t="s">
        <v>1362</v>
      </c>
      <c r="E2" s="75" t="str">
        <f>VLOOKUP($D2,'Item Classification'!B:C,2,0)</f>
        <v>155mm howitzer ammunition</v>
      </c>
      <c r="F2" s="10" t="str">
        <f>VLOOKUP($D2,'Item Classification'!B:D,3,0)</f>
        <v>Ammunition</v>
      </c>
      <c r="G2" s="76">
        <v>4</v>
      </c>
      <c r="H2" s="81" t="s">
        <v>162</v>
      </c>
      <c r="I2" s="81" t="s">
        <v>162</v>
      </c>
      <c r="J2" s="81" t="s">
        <v>162</v>
      </c>
      <c r="K2" s="81">
        <v>2026</v>
      </c>
      <c r="L2" s="81" t="s">
        <v>162</v>
      </c>
      <c r="M2" s="183">
        <v>118000000</v>
      </c>
      <c r="N2" s="183">
        <v>27300000</v>
      </c>
      <c r="O2" s="183">
        <v>4700</v>
      </c>
      <c r="P2" s="77" t="s">
        <v>162</v>
      </c>
      <c r="Q2" s="77" t="s">
        <v>162</v>
      </c>
      <c r="R2" s="77">
        <v>1</v>
      </c>
      <c r="S2" s="77">
        <v>1</v>
      </c>
      <c r="T2" s="77">
        <v>0</v>
      </c>
      <c r="U2" s="77">
        <v>1</v>
      </c>
      <c r="V2" s="10" t="s">
        <v>213</v>
      </c>
      <c r="W2" s="10" t="s">
        <v>163</v>
      </c>
      <c r="X2" s="10" t="s">
        <v>162</v>
      </c>
      <c r="Y2" s="10" t="s">
        <v>955</v>
      </c>
      <c r="Z2" s="10" t="s">
        <v>465</v>
      </c>
      <c r="AA2" s="10" t="s">
        <v>956</v>
      </c>
      <c r="AB2" s="10" t="s">
        <v>957</v>
      </c>
      <c r="AC2" s="10" t="s">
        <v>1080</v>
      </c>
      <c r="AD2" s="10" t="s">
        <v>959</v>
      </c>
      <c r="AE2" s="10" t="s">
        <v>960</v>
      </c>
      <c r="AF2" s="10" t="s">
        <v>961</v>
      </c>
      <c r="AG2" s="10" t="s">
        <v>952</v>
      </c>
      <c r="AH2" s="10" t="s">
        <v>162</v>
      </c>
      <c r="AI2" s="10" t="s">
        <v>162</v>
      </c>
      <c r="AJ2" s="10" t="s">
        <v>162</v>
      </c>
      <c r="AK2" s="10" t="s">
        <v>162</v>
      </c>
      <c r="AL2" s="10" t="s">
        <v>162</v>
      </c>
      <c r="AM2" s="10" t="s">
        <v>162</v>
      </c>
    </row>
    <row r="3" spans="1:39">
      <c r="A3" s="10" t="s">
        <v>1363</v>
      </c>
      <c r="B3" s="10" t="s">
        <v>163</v>
      </c>
      <c r="C3" s="87" t="s">
        <v>162</v>
      </c>
      <c r="D3" s="10" t="s">
        <v>1362</v>
      </c>
      <c r="E3" s="75" t="str">
        <f>VLOOKUP($D3,'Item Classification'!B:C,2,0)</f>
        <v>155mm howitzer ammunition</v>
      </c>
      <c r="F3" s="10" t="str">
        <f>VLOOKUP($D3,'Item Classification'!B:D,3,0)</f>
        <v>Ammunition</v>
      </c>
      <c r="G3" s="76">
        <v>4</v>
      </c>
      <c r="H3" s="81" t="s">
        <v>162</v>
      </c>
      <c r="I3" s="81" t="s">
        <v>162</v>
      </c>
      <c r="J3" s="81" t="s">
        <v>162</v>
      </c>
      <c r="K3" s="81" t="s">
        <v>162</v>
      </c>
      <c r="L3" s="81" t="s">
        <v>162</v>
      </c>
      <c r="M3" s="81" t="s">
        <v>162</v>
      </c>
      <c r="N3" s="81" t="s">
        <v>162</v>
      </c>
      <c r="O3" s="81" t="s">
        <v>162</v>
      </c>
      <c r="P3" s="77" t="s">
        <v>162</v>
      </c>
      <c r="Q3" s="77">
        <v>0</v>
      </c>
      <c r="R3" s="77">
        <v>1</v>
      </c>
      <c r="S3" s="77">
        <v>1</v>
      </c>
      <c r="T3" s="77">
        <v>0</v>
      </c>
      <c r="U3" s="77">
        <v>1</v>
      </c>
      <c r="V3" s="10" t="s">
        <v>213</v>
      </c>
      <c r="W3" s="10" t="s">
        <v>163</v>
      </c>
      <c r="X3" s="10" t="s">
        <v>162</v>
      </c>
      <c r="Y3" s="10" t="s">
        <v>955</v>
      </c>
      <c r="Z3" s="10" t="s">
        <v>465</v>
      </c>
      <c r="AA3" s="10" t="s">
        <v>956</v>
      </c>
      <c r="AB3" s="10" t="s">
        <v>957</v>
      </c>
      <c r="AC3" s="10" t="s">
        <v>1080</v>
      </c>
      <c r="AD3" s="10" t="s">
        <v>959</v>
      </c>
      <c r="AE3" s="10" t="s">
        <v>960</v>
      </c>
      <c r="AF3" s="10" t="s">
        <v>961</v>
      </c>
      <c r="AG3" s="10" t="s">
        <v>162</v>
      </c>
      <c r="AH3" s="10" t="s">
        <v>162</v>
      </c>
      <c r="AI3" s="10" t="s">
        <v>162</v>
      </c>
      <c r="AJ3" s="10" t="s">
        <v>162</v>
      </c>
      <c r="AK3" s="10" t="s">
        <v>162</v>
      </c>
      <c r="AL3" s="10" t="s">
        <v>162</v>
      </c>
      <c r="AM3" s="10" t="s">
        <v>162</v>
      </c>
    </row>
    <row r="4" spans="1:39">
      <c r="A4" s="10" t="s">
        <v>1364</v>
      </c>
      <c r="B4" s="10" t="s">
        <v>163</v>
      </c>
      <c r="C4" s="87">
        <v>45125</v>
      </c>
      <c r="D4" s="10" t="s">
        <v>1362</v>
      </c>
      <c r="E4" s="75" t="str">
        <f>VLOOKUP($D4,'Item Classification'!B:C,2,0)</f>
        <v>155mm howitzer ammunition</v>
      </c>
      <c r="F4" s="10" t="str">
        <f>VLOOKUP($D4,'Item Classification'!B:D,3,0)</f>
        <v>Ammunition</v>
      </c>
      <c r="G4" s="76">
        <v>4</v>
      </c>
      <c r="H4" s="81">
        <v>350000</v>
      </c>
      <c r="I4" s="187">
        <f>L4/H4</f>
        <v>337.14285714285717</v>
      </c>
      <c r="J4" s="81"/>
      <c r="K4" s="81">
        <v>2026</v>
      </c>
      <c r="L4" s="183">
        <v>118000000</v>
      </c>
      <c r="M4" s="81" t="s">
        <v>162</v>
      </c>
      <c r="N4" s="81" t="s">
        <v>162</v>
      </c>
      <c r="O4" s="81" t="s">
        <v>162</v>
      </c>
      <c r="P4" s="77">
        <v>43</v>
      </c>
      <c r="Q4" s="77">
        <v>1</v>
      </c>
      <c r="R4" s="77">
        <v>1</v>
      </c>
      <c r="S4" s="77">
        <v>1</v>
      </c>
      <c r="T4" s="77">
        <v>0</v>
      </c>
      <c r="U4" s="77">
        <v>1</v>
      </c>
      <c r="V4" s="10" t="s">
        <v>213</v>
      </c>
      <c r="W4" s="10" t="s">
        <v>163</v>
      </c>
      <c r="X4" s="10" t="s">
        <v>162</v>
      </c>
      <c r="Y4" s="10" t="s">
        <v>955</v>
      </c>
      <c r="Z4" s="10" t="s">
        <v>465</v>
      </c>
      <c r="AA4" s="10" t="s">
        <v>956</v>
      </c>
      <c r="AB4" s="10" t="s">
        <v>957</v>
      </c>
      <c r="AC4" s="10" t="s">
        <v>1080</v>
      </c>
      <c r="AD4" s="10" t="s">
        <v>959</v>
      </c>
      <c r="AE4" s="10" t="s">
        <v>960</v>
      </c>
      <c r="AF4" s="10" t="s">
        <v>961</v>
      </c>
      <c r="AG4" s="10" t="s">
        <v>162</v>
      </c>
      <c r="AH4" s="10" t="s">
        <v>162</v>
      </c>
      <c r="AI4" s="10" t="s">
        <v>162</v>
      </c>
      <c r="AJ4" s="10" t="s">
        <v>162</v>
      </c>
      <c r="AK4" s="10" t="s">
        <v>162</v>
      </c>
      <c r="AL4" s="10" t="s">
        <v>162</v>
      </c>
      <c r="AM4" s="10" t="s">
        <v>162</v>
      </c>
    </row>
    <row r="5" spans="1:39">
      <c r="A5" s="10" t="s">
        <v>963</v>
      </c>
      <c r="B5" s="10" t="s">
        <v>163</v>
      </c>
      <c r="C5" s="87" t="s">
        <v>162</v>
      </c>
      <c r="D5" s="10" t="s">
        <v>973</v>
      </c>
      <c r="E5" s="75" t="str">
        <f>VLOOKUP($D5,'Item Classification'!B:C,2,0)</f>
        <v>155mm howitzer ammunition</v>
      </c>
      <c r="F5" s="10" t="str">
        <f>VLOOKUP($D5,'Item Classification'!B:D,3,0)</f>
        <v>Ammunition</v>
      </c>
      <c r="G5" s="76">
        <v>4</v>
      </c>
      <c r="H5" s="81" t="s">
        <v>162</v>
      </c>
      <c r="I5" s="81" t="s">
        <v>162</v>
      </c>
      <c r="J5" s="81" t="s">
        <v>162</v>
      </c>
      <c r="K5" s="81" t="s">
        <v>162</v>
      </c>
      <c r="L5" s="81" t="s">
        <v>162</v>
      </c>
      <c r="M5" s="183">
        <v>246000000</v>
      </c>
      <c r="N5" s="81" t="s">
        <v>162</v>
      </c>
      <c r="O5" s="81" t="s">
        <v>162</v>
      </c>
      <c r="P5" s="77" t="s">
        <v>162</v>
      </c>
      <c r="Q5" s="77" t="s">
        <v>162</v>
      </c>
      <c r="R5" s="77">
        <v>1</v>
      </c>
      <c r="S5" s="77">
        <v>0</v>
      </c>
      <c r="T5" s="77">
        <v>0</v>
      </c>
      <c r="U5" s="77">
        <v>0</v>
      </c>
      <c r="V5" s="10" t="s">
        <v>268</v>
      </c>
      <c r="W5" s="10" t="s">
        <v>163</v>
      </c>
      <c r="X5" s="10" t="s">
        <v>162</v>
      </c>
      <c r="Y5" s="10" t="s">
        <v>162</v>
      </c>
      <c r="Z5" s="10" t="s">
        <v>162</v>
      </c>
      <c r="AA5" s="10" t="s">
        <v>956</v>
      </c>
      <c r="AB5" s="10" t="s">
        <v>966</v>
      </c>
      <c r="AC5" s="10" t="s">
        <v>967</v>
      </c>
      <c r="AD5" s="10" t="s">
        <v>1365</v>
      </c>
      <c r="AE5" s="10" t="s">
        <v>162</v>
      </c>
      <c r="AF5" s="10"/>
      <c r="AG5" s="10" t="s">
        <v>962</v>
      </c>
      <c r="AH5" s="10" t="s">
        <v>162</v>
      </c>
      <c r="AI5" s="10" t="s">
        <v>162</v>
      </c>
      <c r="AJ5" s="10" t="s">
        <v>162</v>
      </c>
      <c r="AK5" s="10" t="s">
        <v>162</v>
      </c>
      <c r="AL5" s="10" t="s">
        <v>162</v>
      </c>
      <c r="AM5" s="10" t="s">
        <v>162</v>
      </c>
    </row>
    <row r="6" spans="1:39">
      <c r="A6" s="10" t="s">
        <v>1366</v>
      </c>
      <c r="B6" s="10" t="s">
        <v>163</v>
      </c>
      <c r="C6" s="81" t="s">
        <v>162</v>
      </c>
      <c r="D6" s="10" t="s">
        <v>973</v>
      </c>
      <c r="E6" s="75" t="str">
        <f>VLOOKUP($D6,'Item Classification'!B:C,2,0)</f>
        <v>155mm howitzer ammunition</v>
      </c>
      <c r="F6" s="10" t="str">
        <f>VLOOKUP($D6,'Item Classification'!B:D,3,0)</f>
        <v>Ammunition</v>
      </c>
      <c r="G6" s="76">
        <v>4</v>
      </c>
      <c r="H6" s="81" t="s">
        <v>162</v>
      </c>
      <c r="I6" s="81" t="s">
        <v>162</v>
      </c>
      <c r="J6" s="81" t="s">
        <v>162</v>
      </c>
      <c r="K6" s="81" t="s">
        <v>162</v>
      </c>
      <c r="L6" s="183">
        <v>137000000</v>
      </c>
      <c r="M6" s="81" t="s">
        <v>162</v>
      </c>
      <c r="N6" s="81" t="s">
        <v>162</v>
      </c>
      <c r="O6" s="81" t="s">
        <v>162</v>
      </c>
      <c r="P6" s="77" t="s">
        <v>162</v>
      </c>
      <c r="Q6" s="77">
        <v>0</v>
      </c>
      <c r="R6" s="77">
        <v>1</v>
      </c>
      <c r="S6" s="77">
        <v>0</v>
      </c>
      <c r="T6" s="77">
        <v>0</v>
      </c>
      <c r="U6" s="77">
        <v>0</v>
      </c>
      <c r="V6" s="10" t="s">
        <v>268</v>
      </c>
      <c r="W6" s="10" t="s">
        <v>163</v>
      </c>
      <c r="X6" s="10" t="s">
        <v>162</v>
      </c>
      <c r="Y6" s="10" t="s">
        <v>162</v>
      </c>
      <c r="Z6" s="10" t="s">
        <v>162</v>
      </c>
      <c r="AA6" s="10" t="s">
        <v>1367</v>
      </c>
      <c r="AB6" s="10" t="s">
        <v>966</v>
      </c>
      <c r="AC6" s="10" t="s">
        <v>967</v>
      </c>
      <c r="AD6" s="10" t="s">
        <v>1365</v>
      </c>
      <c r="AE6" s="10" t="s">
        <v>162</v>
      </c>
      <c r="AF6" s="10"/>
      <c r="AG6" s="10" t="s">
        <v>162</v>
      </c>
      <c r="AH6" s="10" t="s">
        <v>162</v>
      </c>
      <c r="AI6" s="10" t="s">
        <v>162</v>
      </c>
      <c r="AJ6" s="10" t="s">
        <v>162</v>
      </c>
      <c r="AK6" s="10" t="s">
        <v>162</v>
      </c>
      <c r="AL6" s="10" t="s">
        <v>162</v>
      </c>
      <c r="AM6" s="10" t="s">
        <v>162</v>
      </c>
    </row>
    <row r="7" spans="1:39">
      <c r="A7" s="10" t="s">
        <v>1368</v>
      </c>
      <c r="B7" s="10" t="s">
        <v>163</v>
      </c>
      <c r="C7" s="87">
        <v>45125</v>
      </c>
      <c r="D7" s="10" t="s">
        <v>973</v>
      </c>
      <c r="E7" s="75" t="str">
        <f>VLOOKUP($D7,'Item Classification'!B:C,2,0)</f>
        <v>155mm howitzer ammunition</v>
      </c>
      <c r="F7" s="10" t="str">
        <f>VLOOKUP($D7,'Item Classification'!B:D,3,0)</f>
        <v>Ammunition</v>
      </c>
      <c r="G7" s="76">
        <v>4</v>
      </c>
      <c r="H7" s="81" t="s">
        <v>162</v>
      </c>
      <c r="I7" s="81" t="s">
        <v>162</v>
      </c>
      <c r="J7" s="81" t="s">
        <v>162</v>
      </c>
      <c r="K7" s="81" t="s">
        <v>162</v>
      </c>
      <c r="L7" s="183">
        <v>109000000</v>
      </c>
      <c r="M7" s="81" t="s">
        <v>162</v>
      </c>
      <c r="N7" s="81" t="s">
        <v>162</v>
      </c>
      <c r="O7" s="81" t="s">
        <v>162</v>
      </c>
      <c r="P7" s="77">
        <v>43</v>
      </c>
      <c r="Q7" s="77">
        <v>1</v>
      </c>
      <c r="R7" s="77">
        <v>1</v>
      </c>
      <c r="S7" s="77">
        <v>0</v>
      </c>
      <c r="T7" s="77">
        <v>0</v>
      </c>
      <c r="U7" s="77">
        <v>0</v>
      </c>
      <c r="V7" s="10" t="s">
        <v>268</v>
      </c>
      <c r="W7" s="10" t="s">
        <v>163</v>
      </c>
      <c r="X7" s="10" t="s">
        <v>162</v>
      </c>
      <c r="Y7" s="10" t="s">
        <v>162</v>
      </c>
      <c r="Z7" s="10" t="s">
        <v>162</v>
      </c>
      <c r="AA7" s="10" t="s">
        <v>1369</v>
      </c>
      <c r="AB7" s="10" t="s">
        <v>966</v>
      </c>
      <c r="AC7" s="10" t="s">
        <v>967</v>
      </c>
      <c r="AD7" s="10" t="s">
        <v>1365</v>
      </c>
      <c r="AE7" s="10" t="s">
        <v>162</v>
      </c>
      <c r="AF7" s="10"/>
      <c r="AG7" s="10" t="s">
        <v>162</v>
      </c>
      <c r="AH7" s="10" t="s">
        <v>162</v>
      </c>
      <c r="AI7" s="10" t="s">
        <v>162</v>
      </c>
      <c r="AJ7" s="10" t="s">
        <v>162</v>
      </c>
      <c r="AK7" s="10" t="s">
        <v>162</v>
      </c>
      <c r="AL7" s="10" t="s">
        <v>162</v>
      </c>
      <c r="AM7" s="10" t="s">
        <v>162</v>
      </c>
    </row>
    <row r="8" spans="1:39">
      <c r="A8" s="10" t="s">
        <v>1251</v>
      </c>
      <c r="B8" s="10" t="s">
        <v>163</v>
      </c>
      <c r="C8" s="87" t="s">
        <v>162</v>
      </c>
      <c r="D8" s="10" t="s">
        <v>1252</v>
      </c>
      <c r="E8" s="75" t="str">
        <f>VLOOKUP($D8,'Item Classification'!B:C,2,0)</f>
        <v>155mm howitzer ammunition</v>
      </c>
      <c r="F8" s="10" t="str">
        <f>VLOOKUP($D8,'Item Classification'!B:D,3,0)</f>
        <v>Ammunition</v>
      </c>
      <c r="G8" s="76">
        <v>4</v>
      </c>
      <c r="H8" s="81" t="s">
        <v>162</v>
      </c>
      <c r="I8" s="81" t="s">
        <v>162</v>
      </c>
      <c r="J8" s="81" t="s">
        <v>162</v>
      </c>
      <c r="K8" s="81" t="s">
        <v>162</v>
      </c>
      <c r="L8" s="183"/>
      <c r="M8" s="183">
        <v>8500000000</v>
      </c>
      <c r="N8" s="183">
        <v>2180000000</v>
      </c>
      <c r="O8" s="81">
        <v>300000</v>
      </c>
      <c r="P8" s="77" t="s">
        <v>162</v>
      </c>
      <c r="Q8" s="77" t="s">
        <v>162</v>
      </c>
      <c r="R8" s="77">
        <v>0</v>
      </c>
      <c r="S8" s="77">
        <v>0</v>
      </c>
      <c r="T8" s="77">
        <v>0</v>
      </c>
      <c r="U8" s="77">
        <v>0</v>
      </c>
      <c r="V8" s="10" t="s">
        <v>268</v>
      </c>
      <c r="W8" s="10" t="s">
        <v>163</v>
      </c>
      <c r="X8" s="10" t="s">
        <v>162</v>
      </c>
      <c r="Y8" s="10" t="s">
        <v>162</v>
      </c>
      <c r="Z8" s="10" t="s">
        <v>162</v>
      </c>
      <c r="AA8" s="10" t="s">
        <v>1254</v>
      </c>
      <c r="AB8" s="10" t="s">
        <v>1253</v>
      </c>
      <c r="AC8" s="10" t="s">
        <v>162</v>
      </c>
      <c r="AD8" s="10" t="s">
        <v>1370</v>
      </c>
      <c r="AE8" s="10" t="s">
        <v>1371</v>
      </c>
      <c r="AF8" s="10" t="s">
        <v>1372</v>
      </c>
      <c r="AG8" s="10" t="s">
        <v>1250</v>
      </c>
      <c r="AH8" s="10" t="s">
        <v>162</v>
      </c>
      <c r="AI8" s="10" t="s">
        <v>162</v>
      </c>
      <c r="AJ8" s="10" t="s">
        <v>1373</v>
      </c>
      <c r="AK8" s="10" t="s">
        <v>1374</v>
      </c>
      <c r="AL8" s="10" t="s">
        <v>1375</v>
      </c>
      <c r="AM8" s="10" t="s">
        <v>162</v>
      </c>
    </row>
    <row r="9" spans="1:39">
      <c r="A9" s="10" t="s">
        <v>1376</v>
      </c>
      <c r="B9" s="10" t="s">
        <v>163</v>
      </c>
      <c r="C9" s="87">
        <v>45125</v>
      </c>
      <c r="D9" s="10" t="s">
        <v>1252</v>
      </c>
      <c r="E9" s="75" t="str">
        <f>VLOOKUP($D9,'Item Classification'!B:C,2,0)</f>
        <v>155mm howitzer ammunition</v>
      </c>
      <c r="F9" s="10" t="str">
        <f>VLOOKUP($D9,'Item Classification'!B:D,3,0)</f>
        <v>Ammunition</v>
      </c>
      <c r="G9" s="76">
        <v>4</v>
      </c>
      <c r="H9" s="81">
        <v>350000</v>
      </c>
      <c r="I9" s="81" t="s">
        <v>162</v>
      </c>
      <c r="J9" s="81" t="s">
        <v>162</v>
      </c>
      <c r="K9" s="81">
        <v>2029</v>
      </c>
      <c r="L9" s="183">
        <v>1200000000</v>
      </c>
      <c r="M9" s="81" t="s">
        <v>162</v>
      </c>
      <c r="N9" s="81" t="s">
        <v>162</v>
      </c>
      <c r="O9" s="81" t="s">
        <v>162</v>
      </c>
      <c r="P9" s="77">
        <v>43</v>
      </c>
      <c r="Q9" s="77">
        <v>0</v>
      </c>
      <c r="R9" s="77">
        <v>1</v>
      </c>
      <c r="S9" s="77">
        <v>0</v>
      </c>
      <c r="T9" s="77">
        <v>0</v>
      </c>
      <c r="U9" s="77">
        <v>0</v>
      </c>
      <c r="V9" s="10" t="s">
        <v>268</v>
      </c>
      <c r="W9" s="10" t="s">
        <v>163</v>
      </c>
      <c r="X9" s="10" t="s">
        <v>162</v>
      </c>
      <c r="Y9" s="10" t="s">
        <v>162</v>
      </c>
      <c r="Z9" s="10" t="s">
        <v>162</v>
      </c>
      <c r="AA9" s="10" t="s">
        <v>966</v>
      </c>
      <c r="AB9" s="10" t="s">
        <v>956</v>
      </c>
      <c r="AC9" s="10" t="s">
        <v>162</v>
      </c>
      <c r="AD9" s="10" t="s">
        <v>1377</v>
      </c>
      <c r="AE9" s="10" t="s">
        <v>1378</v>
      </c>
      <c r="AF9" s="10" t="s">
        <v>162</v>
      </c>
      <c r="AG9" s="10" t="s">
        <v>162</v>
      </c>
      <c r="AH9" s="10" t="s">
        <v>162</v>
      </c>
      <c r="AI9" s="10" t="s">
        <v>162</v>
      </c>
      <c r="AJ9" s="10" t="s">
        <v>162</v>
      </c>
      <c r="AK9" s="10" t="s">
        <v>162</v>
      </c>
      <c r="AL9" s="10" t="s">
        <v>162</v>
      </c>
      <c r="AM9" s="10" t="s">
        <v>162</v>
      </c>
    </row>
    <row r="10" spans="1:39">
      <c r="A10" s="10" t="s">
        <v>1379</v>
      </c>
      <c r="B10" s="10" t="s">
        <v>163</v>
      </c>
      <c r="C10" s="87">
        <v>45448</v>
      </c>
      <c r="D10" s="10" t="s">
        <v>1252</v>
      </c>
      <c r="E10" s="75" t="str">
        <f>VLOOKUP($D10,'Item Classification'!B:C,2,0)</f>
        <v>155mm howitzer ammunition</v>
      </c>
      <c r="F10" s="10" t="str">
        <f>VLOOKUP($D10,'Item Classification'!B:D,3,0)</f>
        <v>Ammunition</v>
      </c>
      <c r="G10" s="76">
        <v>4</v>
      </c>
      <c r="H10" s="81" t="s">
        <v>162</v>
      </c>
      <c r="I10" s="81" t="s">
        <v>162</v>
      </c>
      <c r="J10" s="81">
        <v>2025</v>
      </c>
      <c r="K10" s="81" t="s">
        <v>162</v>
      </c>
      <c r="L10" s="183">
        <f>M8-L9</f>
        <v>7300000000</v>
      </c>
      <c r="M10" s="81" t="s">
        <v>162</v>
      </c>
      <c r="N10" s="81" t="s">
        <v>162</v>
      </c>
      <c r="O10" s="81" t="s">
        <v>162</v>
      </c>
      <c r="P10" s="77">
        <v>54</v>
      </c>
      <c r="Q10" s="77">
        <v>1</v>
      </c>
      <c r="R10" s="77">
        <v>1</v>
      </c>
      <c r="S10" s="77">
        <v>0</v>
      </c>
      <c r="T10" s="77">
        <v>0</v>
      </c>
      <c r="U10" s="77">
        <v>0</v>
      </c>
      <c r="V10" s="10" t="s">
        <v>268</v>
      </c>
      <c r="W10" s="10" t="s">
        <v>163</v>
      </c>
      <c r="X10" s="10" t="s">
        <v>162</v>
      </c>
      <c r="Y10" s="10" t="s">
        <v>162</v>
      </c>
      <c r="Z10" s="10" t="s">
        <v>162</v>
      </c>
      <c r="AA10" s="10" t="s">
        <v>1254</v>
      </c>
      <c r="AB10" s="10" t="s">
        <v>1253</v>
      </c>
      <c r="AC10" s="10" t="s">
        <v>162</v>
      </c>
      <c r="AD10" s="10" t="s">
        <v>1370</v>
      </c>
      <c r="AE10" s="10" t="s">
        <v>1371</v>
      </c>
      <c r="AF10" s="10" t="s">
        <v>1372</v>
      </c>
      <c r="AG10" s="10" t="s">
        <v>162</v>
      </c>
      <c r="AH10" s="10" t="s">
        <v>162</v>
      </c>
      <c r="AI10" s="10" t="s">
        <v>162</v>
      </c>
      <c r="AJ10" s="10" t="s">
        <v>162</v>
      </c>
      <c r="AK10" s="10" t="s">
        <v>162</v>
      </c>
      <c r="AL10" s="10" t="s">
        <v>162</v>
      </c>
      <c r="AM10" s="10" t="s">
        <v>162</v>
      </c>
    </row>
    <row r="11" spans="1:39">
      <c r="A11" s="10" t="s">
        <v>1076</v>
      </c>
      <c r="B11" s="10" t="s">
        <v>163</v>
      </c>
      <c r="C11" s="87" t="s">
        <v>162</v>
      </c>
      <c r="D11" s="10" t="s">
        <v>1252</v>
      </c>
      <c r="E11" s="75" t="str">
        <f>VLOOKUP($D11,'Item Classification'!B:C,2,0)</f>
        <v>155mm howitzer ammunition</v>
      </c>
      <c r="F11" s="10" t="str">
        <f>VLOOKUP($D11,'Item Classification'!B:D,3,0)</f>
        <v>Ammunition</v>
      </c>
      <c r="G11" s="76">
        <v>4</v>
      </c>
      <c r="H11" s="81" t="s">
        <v>162</v>
      </c>
      <c r="I11" s="81" t="s">
        <v>162</v>
      </c>
      <c r="J11" s="81" t="s">
        <v>162</v>
      </c>
      <c r="K11" s="81" t="s">
        <v>162</v>
      </c>
      <c r="L11" s="81" t="s">
        <v>162</v>
      </c>
      <c r="M11" s="81" t="s">
        <v>162</v>
      </c>
      <c r="N11" s="183">
        <v>278000000</v>
      </c>
      <c r="O11" s="81">
        <v>68000</v>
      </c>
      <c r="P11" s="10" t="s">
        <v>162</v>
      </c>
      <c r="Q11" s="10" t="s">
        <v>162</v>
      </c>
      <c r="R11" s="77">
        <v>1</v>
      </c>
      <c r="S11" s="77">
        <v>0</v>
      </c>
      <c r="T11" s="77">
        <v>0</v>
      </c>
      <c r="U11" s="77">
        <v>0</v>
      </c>
      <c r="V11" s="10" t="s">
        <v>1078</v>
      </c>
      <c r="W11" s="10" t="s">
        <v>181</v>
      </c>
      <c r="X11" s="10" t="s">
        <v>162</v>
      </c>
      <c r="Y11" s="10" t="s">
        <v>162</v>
      </c>
      <c r="Z11" s="10" t="s">
        <v>162</v>
      </c>
      <c r="AA11" s="10" t="s">
        <v>1079</v>
      </c>
      <c r="AB11" s="10" t="s">
        <v>1080</v>
      </c>
      <c r="AC11" s="10" t="s">
        <v>162</v>
      </c>
      <c r="AD11" s="10" t="s">
        <v>1380</v>
      </c>
      <c r="AE11" s="10" t="s">
        <v>1381</v>
      </c>
      <c r="AF11" s="10" t="s">
        <v>162</v>
      </c>
      <c r="AG11" s="10" t="s">
        <v>1075</v>
      </c>
      <c r="AH11" s="10" t="s">
        <v>162</v>
      </c>
      <c r="AI11" s="10" t="s">
        <v>162</v>
      </c>
      <c r="AJ11" s="10" t="s">
        <v>162</v>
      </c>
      <c r="AK11" s="10" t="s">
        <v>162</v>
      </c>
      <c r="AL11" s="10" t="s">
        <v>162</v>
      </c>
      <c r="AM11" s="10" t="s">
        <v>162</v>
      </c>
    </row>
    <row r="12" spans="1:39">
      <c r="A12" s="10" t="s">
        <v>1382</v>
      </c>
      <c r="B12" s="10" t="s">
        <v>163</v>
      </c>
      <c r="C12" s="87">
        <v>45274</v>
      </c>
      <c r="D12" s="10" t="s">
        <v>1252</v>
      </c>
      <c r="E12" s="75" t="str">
        <f>VLOOKUP($D12,'Item Classification'!B:C,2,0)</f>
        <v>155mm howitzer ammunition</v>
      </c>
      <c r="F12" s="10" t="str">
        <f>VLOOKUP($D12,'Item Classification'!B:D,3,0)</f>
        <v>Ammunition</v>
      </c>
      <c r="G12" s="76">
        <v>4</v>
      </c>
      <c r="H12" s="81">
        <v>350000</v>
      </c>
      <c r="I12" s="81" t="s">
        <v>162</v>
      </c>
      <c r="J12" s="81" t="s">
        <v>162</v>
      </c>
      <c r="K12" s="81" t="s">
        <v>162</v>
      </c>
      <c r="L12" s="81" t="s">
        <v>162</v>
      </c>
      <c r="M12" s="81" t="s">
        <v>162</v>
      </c>
      <c r="N12" s="81" t="s">
        <v>162</v>
      </c>
      <c r="O12" s="81" t="s">
        <v>162</v>
      </c>
      <c r="P12" s="77">
        <v>48</v>
      </c>
      <c r="Q12" s="77">
        <v>0</v>
      </c>
      <c r="R12" s="77">
        <v>1</v>
      </c>
      <c r="S12" s="77">
        <v>0</v>
      </c>
      <c r="T12" s="77">
        <v>0</v>
      </c>
      <c r="U12" s="77">
        <v>0</v>
      </c>
      <c r="V12" s="10" t="s">
        <v>1078</v>
      </c>
      <c r="W12" s="10" t="s">
        <v>181</v>
      </c>
      <c r="X12" s="10" t="s">
        <v>162</v>
      </c>
      <c r="Y12" s="10" t="s">
        <v>162</v>
      </c>
      <c r="Z12" s="10" t="s">
        <v>162</v>
      </c>
      <c r="AA12" s="10" t="s">
        <v>1079</v>
      </c>
      <c r="AB12" s="10" t="s">
        <v>1080</v>
      </c>
      <c r="AC12" s="10" t="s">
        <v>162</v>
      </c>
      <c r="AD12" s="10" t="s">
        <v>1380</v>
      </c>
      <c r="AE12" s="10" t="s">
        <v>1381</v>
      </c>
      <c r="AF12" s="10" t="s">
        <v>162</v>
      </c>
      <c r="AG12" s="10" t="s">
        <v>162</v>
      </c>
      <c r="AH12" s="10" t="s">
        <v>162</v>
      </c>
      <c r="AI12" s="10" t="s">
        <v>162</v>
      </c>
      <c r="AJ12" s="10" t="s">
        <v>162</v>
      </c>
      <c r="AK12" s="10" t="s">
        <v>162</v>
      </c>
      <c r="AL12" s="10" t="s">
        <v>162</v>
      </c>
      <c r="AM12" s="10" t="s">
        <v>162</v>
      </c>
    </row>
    <row r="13" spans="1:39">
      <c r="A13" s="10" t="s">
        <v>266</v>
      </c>
      <c r="B13" s="10" t="s">
        <v>163</v>
      </c>
      <c r="C13" s="87" t="s">
        <v>162</v>
      </c>
      <c r="D13" s="10" t="s">
        <v>986</v>
      </c>
      <c r="E13" s="75" t="str">
        <f>VLOOKUP($D13,'Item Classification'!B:C,2,0)</f>
        <v>120mm tank ammunition</v>
      </c>
      <c r="F13" s="10" t="str">
        <f>VLOOKUP($D13,'Item Classification'!B:D,3,0)</f>
        <v>Ammunition</v>
      </c>
      <c r="G13" s="76">
        <f>VLOOKUP($D13,'Item Classification'!B:E,4,0)</f>
        <v>4</v>
      </c>
      <c r="H13" s="81" t="s">
        <v>162</v>
      </c>
      <c r="I13" s="81" t="s">
        <v>162</v>
      </c>
      <c r="J13" s="81" t="s">
        <v>162</v>
      </c>
      <c r="K13" s="81">
        <v>2030</v>
      </c>
      <c r="L13" s="81" t="s">
        <v>162</v>
      </c>
      <c r="M13" s="183">
        <v>4000000000</v>
      </c>
      <c r="N13" s="183">
        <v>449100000</v>
      </c>
      <c r="O13" s="81">
        <v>148715</v>
      </c>
      <c r="P13" s="77" t="s">
        <v>162</v>
      </c>
      <c r="Q13" s="77" t="s">
        <v>162</v>
      </c>
      <c r="R13" s="77">
        <v>1</v>
      </c>
      <c r="S13" s="77">
        <v>0</v>
      </c>
      <c r="T13" s="77">
        <v>0</v>
      </c>
      <c r="U13" s="77">
        <v>0</v>
      </c>
      <c r="V13" s="21" t="s">
        <v>268</v>
      </c>
      <c r="W13" s="21" t="s">
        <v>163</v>
      </c>
      <c r="X13" s="10" t="s">
        <v>162</v>
      </c>
      <c r="Y13" s="10" t="s">
        <v>162</v>
      </c>
      <c r="Z13" s="10" t="s">
        <v>162</v>
      </c>
      <c r="AA13" s="10" t="s">
        <v>980</v>
      </c>
      <c r="AB13" s="10" t="s">
        <v>956</v>
      </c>
      <c r="AC13" s="10" t="s">
        <v>162</v>
      </c>
      <c r="AD13" s="10" t="s">
        <v>982</v>
      </c>
      <c r="AE13" s="10" t="s">
        <v>1383</v>
      </c>
      <c r="AF13" s="10" t="s">
        <v>162</v>
      </c>
      <c r="AG13" s="10" t="s">
        <v>265</v>
      </c>
      <c r="AH13" s="10" t="s">
        <v>693</v>
      </c>
      <c r="AI13" s="10" t="s">
        <v>978</v>
      </c>
      <c r="AJ13" s="10" t="s">
        <v>162</v>
      </c>
      <c r="AK13" s="10" t="s">
        <v>162</v>
      </c>
      <c r="AL13" s="10" t="s">
        <v>162</v>
      </c>
      <c r="AM13" s="10" t="s">
        <v>162</v>
      </c>
    </row>
    <row r="14" spans="1:39">
      <c r="A14" s="21" t="s">
        <v>1384</v>
      </c>
      <c r="B14" s="21" t="s">
        <v>163</v>
      </c>
      <c r="C14" s="87">
        <v>44182</v>
      </c>
      <c r="D14" s="10" t="s">
        <v>986</v>
      </c>
      <c r="E14" s="75" t="str">
        <f>VLOOKUP($D14,'Item Classification'!B:C,2,0)</f>
        <v>120mm tank ammunition</v>
      </c>
      <c r="F14" s="10" t="str">
        <f>VLOOKUP($D14,'Item Classification'!B:D,3,0)</f>
        <v>Ammunition</v>
      </c>
      <c r="G14" s="76">
        <f>VLOOKUP($D14,'Item Classification'!B:E,4,0)</f>
        <v>4</v>
      </c>
      <c r="H14" s="81">
        <v>203000</v>
      </c>
      <c r="I14" s="183">
        <f>L14/H14</f>
        <v>2738.9162561576354</v>
      </c>
      <c r="J14" s="81" t="s">
        <v>162</v>
      </c>
      <c r="K14" s="81">
        <v>2028</v>
      </c>
      <c r="L14" s="183">
        <v>556000000</v>
      </c>
      <c r="M14" s="81" t="s">
        <v>162</v>
      </c>
      <c r="N14" s="81" t="s">
        <v>162</v>
      </c>
      <c r="O14" s="81" t="s">
        <v>162</v>
      </c>
      <c r="P14" s="77">
        <v>12</v>
      </c>
      <c r="Q14" s="77">
        <v>0</v>
      </c>
      <c r="R14" s="77">
        <v>1</v>
      </c>
      <c r="S14" s="77">
        <v>0</v>
      </c>
      <c r="T14" s="77">
        <v>0</v>
      </c>
      <c r="U14" s="77">
        <v>0</v>
      </c>
      <c r="V14" s="21" t="s">
        <v>268</v>
      </c>
      <c r="W14" s="21" t="s">
        <v>163</v>
      </c>
      <c r="X14" s="21" t="s">
        <v>162</v>
      </c>
      <c r="Y14" s="21" t="s">
        <v>162</v>
      </c>
      <c r="Z14" s="21" t="s">
        <v>162</v>
      </c>
      <c r="AA14" s="21" t="s">
        <v>269</v>
      </c>
      <c r="AB14" s="21" t="s">
        <v>261</v>
      </c>
      <c r="AC14" s="21" t="s">
        <v>270</v>
      </c>
      <c r="AD14" s="21" t="s">
        <v>1385</v>
      </c>
      <c r="AE14" s="10" t="s">
        <v>162</v>
      </c>
      <c r="AF14" s="10" t="s">
        <v>162</v>
      </c>
      <c r="AG14" s="10" t="s">
        <v>162</v>
      </c>
      <c r="AH14" s="10" t="s">
        <v>162</v>
      </c>
      <c r="AI14" s="10" t="s">
        <v>162</v>
      </c>
      <c r="AJ14" s="10" t="s">
        <v>162</v>
      </c>
      <c r="AK14" s="10" t="s">
        <v>162</v>
      </c>
      <c r="AL14" s="10" t="s">
        <v>162</v>
      </c>
      <c r="AM14" s="10" t="s">
        <v>162</v>
      </c>
    </row>
    <row r="15" spans="1:39">
      <c r="A15" s="10" t="s">
        <v>1386</v>
      </c>
      <c r="B15" s="10" t="s">
        <v>163</v>
      </c>
      <c r="C15" s="87">
        <v>45120</v>
      </c>
      <c r="D15" s="10" t="s">
        <v>986</v>
      </c>
      <c r="E15" s="75" t="str">
        <f>VLOOKUP($D15,'Item Classification'!B:C,2,0)</f>
        <v>120mm tank ammunition</v>
      </c>
      <c r="F15" s="10" t="str">
        <f>VLOOKUP($D15,'Item Classification'!B:D,3,0)</f>
        <v>Ammunition</v>
      </c>
      <c r="G15" s="76">
        <f>VLOOKUP($D15,'Item Classification'!B:E,4,0)</f>
        <v>4</v>
      </c>
      <c r="H15" s="81" t="s">
        <v>162</v>
      </c>
      <c r="I15" s="81" t="s">
        <v>162</v>
      </c>
      <c r="J15" s="81" t="s">
        <v>162</v>
      </c>
      <c r="K15" s="81">
        <v>2030</v>
      </c>
      <c r="L15" s="183">
        <f>M13-L14</f>
        <v>3444000000</v>
      </c>
      <c r="M15" s="81" t="s">
        <v>162</v>
      </c>
      <c r="N15" s="81" t="s">
        <v>162</v>
      </c>
      <c r="O15" s="81" t="s">
        <v>162</v>
      </c>
      <c r="P15" s="77">
        <v>43</v>
      </c>
      <c r="Q15" s="77">
        <v>1</v>
      </c>
      <c r="R15" s="77">
        <v>1</v>
      </c>
      <c r="S15" s="77">
        <v>0</v>
      </c>
      <c r="T15" s="77">
        <v>0</v>
      </c>
      <c r="U15" s="77">
        <v>0</v>
      </c>
      <c r="V15" s="10" t="s">
        <v>268</v>
      </c>
      <c r="W15" s="10" t="s">
        <v>163</v>
      </c>
      <c r="X15" s="10" t="s">
        <v>162</v>
      </c>
      <c r="Y15" s="10" t="s">
        <v>162</v>
      </c>
      <c r="Z15" s="10" t="s">
        <v>162</v>
      </c>
      <c r="AA15" s="10" t="s">
        <v>980</v>
      </c>
      <c r="AB15" s="10" t="s">
        <v>956</v>
      </c>
      <c r="AC15" s="10" t="s">
        <v>981</v>
      </c>
      <c r="AD15" s="10" t="s">
        <v>1387</v>
      </c>
      <c r="AE15" s="10" t="s">
        <v>1388</v>
      </c>
      <c r="AF15" s="10" t="s">
        <v>162</v>
      </c>
      <c r="AG15" s="10" t="s">
        <v>162</v>
      </c>
      <c r="AH15" s="10" t="s">
        <v>162</v>
      </c>
      <c r="AI15" s="10" t="s">
        <v>162</v>
      </c>
      <c r="AJ15" s="10" t="s">
        <v>162</v>
      </c>
      <c r="AK15" s="10" t="s">
        <v>162</v>
      </c>
      <c r="AL15" s="10" t="s">
        <v>162</v>
      </c>
      <c r="AM15" s="10" t="s">
        <v>162</v>
      </c>
    </row>
    <row r="16" spans="1:39">
      <c r="A16" s="108" t="s">
        <v>1182</v>
      </c>
      <c r="B16" s="108" t="s">
        <v>163</v>
      </c>
      <c r="C16" s="185" t="s">
        <v>162</v>
      </c>
      <c r="D16" s="109" t="s">
        <v>1183</v>
      </c>
      <c r="E16" s="110" t="str">
        <f>VLOOKUP($D16,'Item Classification'!B:C,2,0)</f>
        <v>70mm attack helicopter rocket</v>
      </c>
      <c r="F16" s="108" t="str">
        <f>VLOOKUP($D16,'Item Classification'!B:D,3,0)</f>
        <v>Ammunition</v>
      </c>
      <c r="G16" s="111">
        <f>VLOOKUP($D16,'Item Classification'!B:E,4,0)</f>
        <v>4</v>
      </c>
      <c r="H16" s="185" t="s">
        <v>162</v>
      </c>
      <c r="I16" s="185" t="s">
        <v>162</v>
      </c>
      <c r="J16" s="185" t="s">
        <v>162</v>
      </c>
      <c r="K16" s="185" t="s">
        <v>162</v>
      </c>
      <c r="L16" s="185" t="s">
        <v>162</v>
      </c>
      <c r="M16" s="185" t="s">
        <v>162</v>
      </c>
      <c r="N16" s="188">
        <v>54000000</v>
      </c>
      <c r="O16" s="185">
        <v>15180</v>
      </c>
      <c r="P16" s="112" t="s">
        <v>162</v>
      </c>
      <c r="Q16" s="112" t="s">
        <v>162</v>
      </c>
      <c r="R16" s="112">
        <v>1</v>
      </c>
      <c r="S16" s="112">
        <v>1</v>
      </c>
      <c r="T16" s="112">
        <v>0</v>
      </c>
      <c r="U16" s="112">
        <v>1</v>
      </c>
      <c r="V16" s="108" t="s">
        <v>268</v>
      </c>
      <c r="W16" s="108" t="s">
        <v>163</v>
      </c>
      <c r="X16" s="108" t="s">
        <v>162</v>
      </c>
      <c r="Y16" s="108" t="s">
        <v>178</v>
      </c>
      <c r="Z16" s="108" t="s">
        <v>181</v>
      </c>
      <c r="AA16" s="108" t="s">
        <v>1177</v>
      </c>
      <c r="AB16" s="108" t="s">
        <v>1185</v>
      </c>
      <c r="AC16" s="108" t="s">
        <v>1186</v>
      </c>
      <c r="AD16" s="108" t="s">
        <v>1187</v>
      </c>
      <c r="AE16" s="10" t="s">
        <v>162</v>
      </c>
      <c r="AF16" s="10" t="s">
        <v>162</v>
      </c>
      <c r="AG16" s="108" t="s">
        <v>1181</v>
      </c>
      <c r="AH16" s="108" t="s">
        <v>162</v>
      </c>
      <c r="AI16" s="10" t="s">
        <v>162</v>
      </c>
      <c r="AJ16" s="10" t="s">
        <v>162</v>
      </c>
      <c r="AK16" s="10" t="s">
        <v>162</v>
      </c>
      <c r="AL16" s="10" t="s">
        <v>162</v>
      </c>
      <c r="AM16" s="10" t="s">
        <v>162</v>
      </c>
    </row>
    <row r="17" spans="1:39">
      <c r="A17" s="108" t="s">
        <v>1389</v>
      </c>
      <c r="B17" s="108" t="s">
        <v>163</v>
      </c>
      <c r="C17" s="186">
        <v>45392</v>
      </c>
      <c r="D17" s="109" t="s">
        <v>1183</v>
      </c>
      <c r="E17" s="110" t="str">
        <f>VLOOKUP($D17,'Item Classification'!B:C,2,0)</f>
        <v>70mm attack helicopter rocket</v>
      </c>
      <c r="F17" s="108" t="str">
        <f>VLOOKUP($D17,'Item Classification'!B:D,3,0)</f>
        <v>Ammunition</v>
      </c>
      <c r="G17" s="111">
        <f>VLOOKUP($D17,'Item Classification'!B:E,4,0)</f>
        <v>4</v>
      </c>
      <c r="H17" s="185">
        <v>31760</v>
      </c>
      <c r="I17" s="185" t="s">
        <v>162</v>
      </c>
      <c r="J17" s="185" t="s">
        <v>162</v>
      </c>
      <c r="K17" s="185" t="s">
        <v>162</v>
      </c>
      <c r="L17" s="185" t="s">
        <v>162</v>
      </c>
      <c r="M17" s="185" t="s">
        <v>162</v>
      </c>
      <c r="N17" s="185" t="s">
        <v>162</v>
      </c>
      <c r="O17" s="185" t="s">
        <v>162</v>
      </c>
      <c r="P17" s="112">
        <v>52</v>
      </c>
      <c r="Q17" s="112">
        <v>0</v>
      </c>
      <c r="R17" s="112">
        <v>1</v>
      </c>
      <c r="S17" s="112">
        <v>1</v>
      </c>
      <c r="T17" s="112">
        <v>0</v>
      </c>
      <c r="U17" s="112">
        <v>1</v>
      </c>
      <c r="V17" s="108" t="s">
        <v>268</v>
      </c>
      <c r="W17" s="108" t="s">
        <v>163</v>
      </c>
      <c r="X17" s="108" t="s">
        <v>162</v>
      </c>
      <c r="Y17" s="108" t="s">
        <v>178</v>
      </c>
      <c r="Z17" s="108" t="s">
        <v>181</v>
      </c>
      <c r="AA17" s="108" t="s">
        <v>1177</v>
      </c>
      <c r="AB17" s="108" t="s">
        <v>1185</v>
      </c>
      <c r="AC17" s="108" t="s">
        <v>1186</v>
      </c>
      <c r="AD17" s="108" t="s">
        <v>1187</v>
      </c>
      <c r="AE17" s="10" t="s">
        <v>162</v>
      </c>
      <c r="AF17" s="10" t="s">
        <v>162</v>
      </c>
      <c r="AG17" s="108" t="s">
        <v>162</v>
      </c>
      <c r="AH17" s="108" t="s">
        <v>162</v>
      </c>
      <c r="AI17" s="10" t="s">
        <v>162</v>
      </c>
      <c r="AJ17" s="10" t="s">
        <v>162</v>
      </c>
      <c r="AK17" s="10" t="s">
        <v>162</v>
      </c>
      <c r="AL17" s="10" t="s">
        <v>162</v>
      </c>
      <c r="AM17" s="10" t="s">
        <v>162</v>
      </c>
    </row>
    <row r="18" spans="1:39">
      <c r="A18" s="10" t="s">
        <v>719</v>
      </c>
      <c r="B18" s="10" t="s">
        <v>163</v>
      </c>
      <c r="C18" s="81" t="s">
        <v>162</v>
      </c>
      <c r="D18" s="10" t="s">
        <v>720</v>
      </c>
      <c r="E18" s="75" t="str">
        <f>VLOOKUP($D18,'Item Classification'!B:D,2,0)</f>
        <v xml:space="preserve">30mm infantry fighting vehicle ammunition </v>
      </c>
      <c r="F18" s="10" t="str">
        <f>VLOOKUP($D18,'Item Classification'!B:E,3,0)</f>
        <v>Ammunition</v>
      </c>
      <c r="G18" s="76">
        <f>VLOOKUP($D18,'Item Classification'!B:E,4,0)</f>
        <v>4</v>
      </c>
      <c r="H18" s="81" t="s">
        <v>162</v>
      </c>
      <c r="I18" s="81" t="s">
        <v>162</v>
      </c>
      <c r="J18" s="81">
        <v>2022</v>
      </c>
      <c r="K18" s="81" t="s">
        <v>162</v>
      </c>
      <c r="L18" s="81" t="s">
        <v>162</v>
      </c>
      <c r="M18" s="183">
        <v>576000000</v>
      </c>
      <c r="N18" s="183">
        <v>67600000</v>
      </c>
      <c r="O18" s="189">
        <v>25000</v>
      </c>
      <c r="P18" s="77" t="s">
        <v>162</v>
      </c>
      <c r="Q18" s="77" t="s">
        <v>162</v>
      </c>
      <c r="R18" s="77">
        <v>1</v>
      </c>
      <c r="S18" s="77">
        <v>0</v>
      </c>
      <c r="T18" s="77">
        <v>0</v>
      </c>
      <c r="U18" s="77">
        <v>0</v>
      </c>
      <c r="V18" s="10" t="s">
        <v>268</v>
      </c>
      <c r="W18" s="10" t="s">
        <v>163</v>
      </c>
      <c r="X18" s="10" t="s">
        <v>162</v>
      </c>
      <c r="Y18" s="10" t="s">
        <v>162</v>
      </c>
      <c r="Z18" s="10" t="s">
        <v>162</v>
      </c>
      <c r="AA18" s="10" t="s">
        <v>722</v>
      </c>
      <c r="AB18" s="10" t="s">
        <v>721</v>
      </c>
      <c r="AC18" s="10" t="s">
        <v>162</v>
      </c>
      <c r="AD18" s="10" t="s">
        <v>724</v>
      </c>
      <c r="AE18" s="10" t="s">
        <v>162</v>
      </c>
      <c r="AF18" s="10" t="s">
        <v>162</v>
      </c>
      <c r="AG18" s="10" t="s">
        <v>718</v>
      </c>
      <c r="AH18" s="10" t="s">
        <v>989</v>
      </c>
      <c r="AI18" s="10" t="s">
        <v>162</v>
      </c>
      <c r="AJ18" s="10" t="s">
        <v>162</v>
      </c>
      <c r="AK18" s="10" t="s">
        <v>162</v>
      </c>
      <c r="AL18" s="10" t="s">
        <v>162</v>
      </c>
      <c r="AM18" s="10" t="s">
        <v>162</v>
      </c>
    </row>
    <row r="19" spans="1:39">
      <c r="A19" s="10" t="s">
        <v>1390</v>
      </c>
      <c r="B19" s="10" t="s">
        <v>163</v>
      </c>
      <c r="C19" s="87">
        <v>45268</v>
      </c>
      <c r="D19" s="10" t="s">
        <v>720</v>
      </c>
      <c r="E19" s="75" t="str">
        <f>VLOOKUP($D19,'Item Classification'!B:D,2,0)</f>
        <v xml:space="preserve">30mm infantry fighting vehicle ammunition </v>
      </c>
      <c r="F19" s="10" t="str">
        <f>VLOOKUP($D19,'Item Classification'!B:E,3,0)</f>
        <v>Ammunition</v>
      </c>
      <c r="G19" s="76">
        <f>VLOOKUP($D19,'Item Classification'!B:E,4,0)</f>
        <v>4</v>
      </c>
      <c r="H19" s="81">
        <v>600000</v>
      </c>
      <c r="I19" s="182">
        <f>L19/H19</f>
        <v>960</v>
      </c>
      <c r="J19" s="81">
        <v>2022</v>
      </c>
      <c r="K19" s="81" t="s">
        <v>162</v>
      </c>
      <c r="L19" s="183">
        <v>576000000</v>
      </c>
      <c r="M19" s="81" t="s">
        <v>162</v>
      </c>
      <c r="N19" s="81" t="s">
        <v>162</v>
      </c>
      <c r="O19" s="81" t="s">
        <v>162</v>
      </c>
      <c r="P19" s="77">
        <v>48</v>
      </c>
      <c r="Q19" s="77">
        <v>0</v>
      </c>
      <c r="R19" s="77">
        <v>1</v>
      </c>
      <c r="S19" s="77">
        <v>0</v>
      </c>
      <c r="T19" s="77">
        <v>0</v>
      </c>
      <c r="U19" s="77">
        <v>0</v>
      </c>
      <c r="V19" s="10" t="s">
        <v>268</v>
      </c>
      <c r="W19" s="10" t="s">
        <v>163</v>
      </c>
      <c r="X19" s="10" t="s">
        <v>162</v>
      </c>
      <c r="Y19" s="10" t="s">
        <v>162</v>
      </c>
      <c r="Z19" s="10" t="s">
        <v>162</v>
      </c>
      <c r="AA19" s="10" t="s">
        <v>722</v>
      </c>
      <c r="AB19" s="10" t="s">
        <v>721</v>
      </c>
      <c r="AC19" s="10" t="s">
        <v>162</v>
      </c>
      <c r="AD19" s="10" t="s">
        <v>724</v>
      </c>
      <c r="AE19" s="10" t="s">
        <v>162</v>
      </c>
      <c r="AF19" s="10" t="s">
        <v>162</v>
      </c>
      <c r="AG19" s="10" t="s">
        <v>162</v>
      </c>
      <c r="AH19" s="10" t="s">
        <v>162</v>
      </c>
      <c r="AI19" s="10" t="s">
        <v>162</v>
      </c>
      <c r="AJ19" s="10" t="s">
        <v>162</v>
      </c>
      <c r="AK19" s="10" t="s">
        <v>162</v>
      </c>
      <c r="AL19" s="10" t="s">
        <v>162</v>
      </c>
      <c r="AM19" s="10" t="s">
        <v>162</v>
      </c>
    </row>
  </sheetData>
  <phoneticPr fontId="12" type="noConversion"/>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662710-BA7B-4B06-801F-71BDDD9404A7}">
  <sheetPr>
    <tabColor theme="9" tint="0.59999389629810485"/>
  </sheetPr>
  <dimension ref="A2:G63"/>
  <sheetViews>
    <sheetView workbookViewId="0"/>
  </sheetViews>
  <sheetFormatPr defaultColWidth="8.69921875" defaultRowHeight="15.6"/>
  <cols>
    <col min="1" max="1" width="8.69921875" style="1"/>
    <col min="2" max="2" width="13.5" style="1" customWidth="1"/>
    <col min="3" max="3" width="13.19921875" style="1" bestFit="1" customWidth="1"/>
    <col min="4" max="4" width="15.19921875" style="1" bestFit="1" customWidth="1"/>
    <col min="5" max="5" width="13.59765625" style="1" bestFit="1" customWidth="1"/>
    <col min="6" max="16384" width="8.69921875" style="1"/>
  </cols>
  <sheetData>
    <row r="2" spans="1:7" ht="25.2">
      <c r="B2" s="67" t="s">
        <v>1672</v>
      </c>
    </row>
    <row r="4" spans="1:7" ht="130.19999999999999" customHeight="1">
      <c r="B4" s="206" t="s">
        <v>1673</v>
      </c>
      <c r="C4" s="206"/>
      <c r="D4" s="206"/>
      <c r="E4" s="206"/>
      <c r="F4" s="206"/>
      <c r="G4" s="206"/>
    </row>
    <row r="6" spans="1:7" ht="21" customHeight="1">
      <c r="B6" s="161" t="s">
        <v>1404</v>
      </c>
      <c r="C6" s="162" t="s">
        <v>322</v>
      </c>
      <c r="D6" s="162" t="s">
        <v>1429</v>
      </c>
      <c r="E6" s="162" t="s">
        <v>1674</v>
      </c>
    </row>
    <row r="7" spans="1:7">
      <c r="A7" s="72">
        <v>1</v>
      </c>
      <c r="B7" s="68">
        <v>43831</v>
      </c>
      <c r="C7" s="61">
        <f>(SUMIFS('MAIN DATA, Orders'!$M:$M,'MAIN DATA, Orders'!$C:$C,"Germany",'MAIN DATA, Orders'!$G:$G,"Missile (Land)",'MAIN DATA, Orders'!$Q:$Q,$A7)/1000000000)</f>
        <v>0</v>
      </c>
      <c r="D7" s="61">
        <f>(SUMIFS('MAIN DATA, Orders'!$M:$M,'MAIN DATA, Orders'!$C:$C,"Germany",'MAIN DATA, Orders'!$G:$G,"Missile (Air)",'MAIN DATA, Orders'!$Q:$Q,$A7)/1000000000)</f>
        <v>0</v>
      </c>
      <c r="E7" s="61">
        <f>(SUMIFS('MAIN DATA, Orders'!$M:$M,'MAIN DATA, Orders'!$C:$C,"Germany",'MAIN DATA, Orders'!$G:$G,"Missile (Naval)",'MAIN DATA, Orders'!$Q:$Q,$A7)/1000000000)</f>
        <v>0</v>
      </c>
    </row>
    <row r="8" spans="1:7">
      <c r="A8" s="72">
        <v>2</v>
      </c>
      <c r="B8" s="68">
        <v>43862</v>
      </c>
      <c r="C8" s="61">
        <f>(SUMIFS('MAIN DATA, Orders'!$M:$M,'MAIN DATA, Orders'!$C:$C,"Germany",'MAIN DATA, Orders'!$G:$G,"Missile (Land)",'MAIN DATA, Orders'!$Q:$Q,$A8)/1000000000)</f>
        <v>0</v>
      </c>
      <c r="D8" s="61">
        <f>(SUMIFS('MAIN DATA, Orders'!$M:$M,'MAIN DATA, Orders'!$C:$C,"Germany",'MAIN DATA, Orders'!$G:$G,"Missile (Air)",'MAIN DATA, Orders'!$Q:$Q,$A8)/1000000000)</f>
        <v>0</v>
      </c>
      <c r="E8" s="61">
        <f>(SUMIFS('MAIN DATA, Orders'!$M:$M,'MAIN DATA, Orders'!$C:$C,"Germany",'MAIN DATA, Orders'!$G:$G,"Missile (Naval)",'MAIN DATA, Orders'!$Q:$Q,$A8)/1000000000)</f>
        <v>0</v>
      </c>
    </row>
    <row r="9" spans="1:7">
      <c r="A9" s="72">
        <v>3</v>
      </c>
      <c r="B9" s="68">
        <v>43891</v>
      </c>
      <c r="C9" s="61">
        <f>(SUMIFS('MAIN DATA, Orders'!$M:$M,'MAIN DATA, Orders'!$C:$C,"Germany",'MAIN DATA, Orders'!$G:$G,"Missile (Land)",'MAIN DATA, Orders'!$Q:$Q,$A9)/1000000000)</f>
        <v>0</v>
      </c>
      <c r="D9" s="61">
        <f>(SUMIFS('MAIN DATA, Orders'!$M:$M,'MAIN DATA, Orders'!$C:$C,"Germany",'MAIN DATA, Orders'!$G:$G,"Missile (Air)",'MAIN DATA, Orders'!$Q:$Q,$A9)/1000000000)</f>
        <v>0</v>
      </c>
      <c r="E9" s="61">
        <f>(SUMIFS('MAIN DATA, Orders'!$M:$M,'MAIN DATA, Orders'!$C:$C,"Germany",'MAIN DATA, Orders'!$G:$G,"Missile (Naval)",'MAIN DATA, Orders'!$Q:$Q,$A9)/1000000000)</f>
        <v>0</v>
      </c>
    </row>
    <row r="10" spans="1:7">
      <c r="A10" s="72">
        <v>4</v>
      </c>
      <c r="B10" s="68">
        <v>43922</v>
      </c>
      <c r="C10" s="61">
        <f>(SUMIFS('MAIN DATA, Orders'!$M:$M,'MAIN DATA, Orders'!$C:$C,"Germany",'MAIN DATA, Orders'!$G:$G,"Missile (Land)",'MAIN DATA, Orders'!$Q:$Q,$A10)/1000000000)</f>
        <v>0</v>
      </c>
      <c r="D10" s="61">
        <f>(SUMIFS('MAIN DATA, Orders'!$M:$M,'MAIN DATA, Orders'!$C:$C,"Germany",'MAIN DATA, Orders'!$G:$G,"Missile (Air)",'MAIN DATA, Orders'!$Q:$Q,$A10)/1000000000)</f>
        <v>0</v>
      </c>
      <c r="E10" s="61">
        <f>(SUMIFS('MAIN DATA, Orders'!$M:$M,'MAIN DATA, Orders'!$C:$C,"Germany",'MAIN DATA, Orders'!$G:$G,"Missile (Naval)",'MAIN DATA, Orders'!$Q:$Q,$A10)/1000000000)</f>
        <v>0</v>
      </c>
    </row>
    <row r="11" spans="1:7">
      <c r="A11" s="72">
        <v>5</v>
      </c>
      <c r="B11" s="68">
        <v>43952</v>
      </c>
      <c r="C11" s="61">
        <f>(SUMIFS('MAIN DATA, Orders'!$M:$M,'MAIN DATA, Orders'!$C:$C,"Germany",'MAIN DATA, Orders'!$G:$G,"Missile (Land)",'MAIN DATA, Orders'!$Q:$Q,$A11)/1000000000)</f>
        <v>0</v>
      </c>
      <c r="D11" s="61">
        <f>(SUMIFS('MAIN DATA, Orders'!$M:$M,'MAIN DATA, Orders'!$C:$C,"Germany",'MAIN DATA, Orders'!$G:$G,"Missile (Air)",'MAIN DATA, Orders'!$Q:$Q,$A11)/1000000000)</f>
        <v>0</v>
      </c>
      <c r="E11" s="61">
        <f>(SUMIFS('MAIN DATA, Orders'!$M:$M,'MAIN DATA, Orders'!$C:$C,"Germany",'MAIN DATA, Orders'!$G:$G,"Missile (Naval)",'MAIN DATA, Orders'!$Q:$Q,$A11)/1000000000)</f>
        <v>0</v>
      </c>
    </row>
    <row r="12" spans="1:7">
      <c r="A12" s="72">
        <v>6</v>
      </c>
      <c r="B12" s="68">
        <v>43983</v>
      </c>
      <c r="C12" s="61">
        <f>(SUMIFS('MAIN DATA, Orders'!$M:$M,'MAIN DATA, Orders'!$C:$C,"Germany",'MAIN DATA, Orders'!$G:$G,"Missile (Land)",'MAIN DATA, Orders'!$Q:$Q,$A12)/1000000000)</f>
        <v>0</v>
      </c>
      <c r="D12" s="61">
        <f>(SUMIFS('MAIN DATA, Orders'!$M:$M,'MAIN DATA, Orders'!$C:$C,"Germany",'MAIN DATA, Orders'!$G:$G,"Missile (Air)",'MAIN DATA, Orders'!$Q:$Q,$A12)/1000000000)</f>
        <v>0</v>
      </c>
      <c r="E12" s="61">
        <f>(SUMIFS('MAIN DATA, Orders'!$M:$M,'MAIN DATA, Orders'!$C:$C,"Germany",'MAIN DATA, Orders'!$G:$G,"Missile (Naval)",'MAIN DATA, Orders'!$Q:$Q,$A12)/1000000000)</f>
        <v>0</v>
      </c>
    </row>
    <row r="13" spans="1:7">
      <c r="A13" s="72">
        <v>7</v>
      </c>
      <c r="B13" s="68">
        <v>44013</v>
      </c>
      <c r="C13" s="61">
        <f>(SUMIFS('MAIN DATA, Orders'!$M:$M,'MAIN DATA, Orders'!$C:$C,"Germany",'MAIN DATA, Orders'!$G:$G,"Missile (Land)",'MAIN DATA, Orders'!$Q:$Q,$A13)/1000000000)</f>
        <v>0</v>
      </c>
      <c r="D13" s="61">
        <f>(SUMIFS('MAIN DATA, Orders'!$M:$M,'MAIN DATA, Orders'!$C:$C,"Germany",'MAIN DATA, Orders'!$G:$G,"Missile (Air)",'MAIN DATA, Orders'!$Q:$Q,$A13)/1000000000)</f>
        <v>0</v>
      </c>
      <c r="E13" s="61">
        <f>(SUMIFS('MAIN DATA, Orders'!$M:$M,'MAIN DATA, Orders'!$C:$C,"Germany",'MAIN DATA, Orders'!$G:$G,"Missile (Naval)",'MAIN DATA, Orders'!$Q:$Q,$A13)/1000000000)</f>
        <v>0</v>
      </c>
    </row>
    <row r="14" spans="1:7">
      <c r="A14" s="72">
        <v>8</v>
      </c>
      <c r="B14" s="68">
        <v>44044</v>
      </c>
      <c r="C14" s="61">
        <f>(SUMIFS('MAIN DATA, Orders'!$M:$M,'MAIN DATA, Orders'!$C:$C,"Germany",'MAIN DATA, Orders'!$G:$G,"Missile (Land)",'MAIN DATA, Orders'!$Q:$Q,$A14)/1000000000)</f>
        <v>0</v>
      </c>
      <c r="D14" s="61">
        <f>(SUMIFS('MAIN DATA, Orders'!$M:$M,'MAIN DATA, Orders'!$C:$C,"Germany",'MAIN DATA, Orders'!$G:$G,"Missile (Air)",'MAIN DATA, Orders'!$Q:$Q,$A14)/1000000000)</f>
        <v>0</v>
      </c>
      <c r="E14" s="61">
        <f>(SUMIFS('MAIN DATA, Orders'!$M:$M,'MAIN DATA, Orders'!$C:$C,"Germany",'MAIN DATA, Orders'!$G:$G,"Missile (Naval)",'MAIN DATA, Orders'!$Q:$Q,$A14)/1000000000)</f>
        <v>0</v>
      </c>
    </row>
    <row r="15" spans="1:7">
      <c r="A15" s="72">
        <v>9</v>
      </c>
      <c r="B15" s="68">
        <v>44075</v>
      </c>
      <c r="C15" s="61">
        <f>(SUMIFS('MAIN DATA, Orders'!$M:$M,'MAIN DATA, Orders'!$C:$C,"Germany",'MAIN DATA, Orders'!$G:$G,"Missile (Land)",'MAIN DATA, Orders'!$Q:$Q,$A15)/1000000000)</f>
        <v>0</v>
      </c>
      <c r="D15" s="61">
        <f>(SUMIFS('MAIN DATA, Orders'!$M:$M,'MAIN DATA, Orders'!$C:$C,"Germany",'MAIN DATA, Orders'!$G:$G,"Missile (Air)",'MAIN DATA, Orders'!$Q:$Q,$A15)/1000000000)</f>
        <v>0</v>
      </c>
      <c r="E15" s="61">
        <f>(SUMIFS('MAIN DATA, Orders'!$M:$M,'MAIN DATA, Orders'!$C:$C,"Germany",'MAIN DATA, Orders'!$G:$G,"Missile (Naval)",'MAIN DATA, Orders'!$Q:$Q,$A15)/1000000000)</f>
        <v>0.29099999999999998</v>
      </c>
    </row>
    <row r="16" spans="1:7">
      <c r="A16" s="72">
        <v>10</v>
      </c>
      <c r="B16" s="68">
        <v>44105</v>
      </c>
      <c r="C16" s="61">
        <f>(SUMIFS('MAIN DATA, Orders'!$M:$M,'MAIN DATA, Orders'!$C:$C,"Germany",'MAIN DATA, Orders'!$G:$G,"Missile (Land)",'MAIN DATA, Orders'!$Q:$Q,$A16)/1000000000)</f>
        <v>0</v>
      </c>
      <c r="D16" s="61">
        <f>(SUMIFS('MAIN DATA, Orders'!$M:$M,'MAIN DATA, Orders'!$C:$C,"Germany",'MAIN DATA, Orders'!$G:$G,"Missile (Air)",'MAIN DATA, Orders'!$Q:$Q,$A16)/1000000000)</f>
        <v>0</v>
      </c>
      <c r="E16" s="61">
        <f>(SUMIFS('MAIN DATA, Orders'!$M:$M,'MAIN DATA, Orders'!$C:$C,"Germany",'MAIN DATA, Orders'!$G:$G,"Missile (Naval)",'MAIN DATA, Orders'!$Q:$Q,$A16)/1000000000)</f>
        <v>0</v>
      </c>
    </row>
    <row r="17" spans="1:5">
      <c r="A17" s="72">
        <v>11</v>
      </c>
      <c r="B17" s="68">
        <v>44136</v>
      </c>
      <c r="C17" s="61">
        <f>(SUMIFS('MAIN DATA, Orders'!$M:$M,'MAIN DATA, Orders'!$C:$C,"Germany",'MAIN DATA, Orders'!$G:$G,"Missile (Land)",'MAIN DATA, Orders'!$Q:$Q,$A17)/1000000000)</f>
        <v>0</v>
      </c>
      <c r="D17" s="61">
        <f>(SUMIFS('MAIN DATA, Orders'!$M:$M,'MAIN DATA, Orders'!$C:$C,"Germany",'MAIN DATA, Orders'!$G:$G,"Missile (Air)",'MAIN DATA, Orders'!$Q:$Q,$A17)/1000000000)</f>
        <v>0</v>
      </c>
      <c r="E17" s="61">
        <f>(SUMIFS('MAIN DATA, Orders'!$M:$M,'MAIN DATA, Orders'!$C:$C,"Germany",'MAIN DATA, Orders'!$G:$G,"Missile (Naval)",'MAIN DATA, Orders'!$Q:$Q,$A17)/1000000000)</f>
        <v>0</v>
      </c>
    </row>
    <row r="18" spans="1:5">
      <c r="A18" s="72">
        <v>12</v>
      </c>
      <c r="B18" s="68">
        <v>44166</v>
      </c>
      <c r="C18" s="61">
        <f>(SUMIFS('MAIN DATA, Orders'!$M:$M,'MAIN DATA, Orders'!$C:$C,"Germany",'MAIN DATA, Orders'!$G:$G,"Missile (Land)",'MAIN DATA, Orders'!$Q:$Q,$A18)/1000000000)</f>
        <v>0</v>
      </c>
      <c r="D18" s="61">
        <f>(SUMIFS('MAIN DATA, Orders'!$M:$M,'MAIN DATA, Orders'!$C:$C,"Germany",'MAIN DATA, Orders'!$G:$G,"Missile (Air)",'MAIN DATA, Orders'!$Q:$Q,$A18)/1000000000)</f>
        <v>0</v>
      </c>
      <c r="E18" s="61">
        <f>(SUMIFS('MAIN DATA, Orders'!$M:$M,'MAIN DATA, Orders'!$C:$C,"Germany",'MAIN DATA, Orders'!$G:$G,"Missile (Naval)",'MAIN DATA, Orders'!$Q:$Q,$A18)/1000000000)</f>
        <v>0</v>
      </c>
    </row>
    <row r="19" spans="1:5">
      <c r="A19" s="72">
        <v>13</v>
      </c>
      <c r="B19" s="68">
        <v>44197</v>
      </c>
      <c r="C19" s="61">
        <f>(SUMIFS('MAIN DATA, Orders'!$M:$M,'MAIN DATA, Orders'!$C:$C,"Germany",'MAIN DATA, Orders'!$G:$G,"Missile (Land)",'MAIN DATA, Orders'!$Q:$Q,$A19)/1000000000)</f>
        <v>0</v>
      </c>
      <c r="D19" s="61">
        <f>(SUMIFS('MAIN DATA, Orders'!$M:$M,'MAIN DATA, Orders'!$C:$C,"Germany",'MAIN DATA, Orders'!$G:$G,"Missile (Air)",'MAIN DATA, Orders'!$Q:$Q,$A19)/1000000000)</f>
        <v>0</v>
      </c>
      <c r="E19" s="61">
        <f>(SUMIFS('MAIN DATA, Orders'!$M:$M,'MAIN DATA, Orders'!$C:$C,"Germany",'MAIN DATA, Orders'!$G:$G,"Missile (Naval)",'MAIN DATA, Orders'!$Q:$Q,$A19)/1000000000)</f>
        <v>0</v>
      </c>
    </row>
    <row r="20" spans="1:5">
      <c r="A20" s="72">
        <v>14</v>
      </c>
      <c r="B20" s="68">
        <v>44228</v>
      </c>
      <c r="C20" s="61">
        <f>(SUMIFS('MAIN DATA, Orders'!$M:$M,'MAIN DATA, Orders'!$C:$C,"Germany",'MAIN DATA, Orders'!$G:$G,"Missile (Land)",'MAIN DATA, Orders'!$Q:$Q,$A20)/1000000000)</f>
        <v>8.7999999999999995E-2</v>
      </c>
      <c r="D20" s="61">
        <f>(SUMIFS('MAIN DATA, Orders'!$M:$M,'MAIN DATA, Orders'!$C:$C,"Germany",'MAIN DATA, Orders'!$G:$G,"Missile (Air)",'MAIN DATA, Orders'!$Q:$Q,$A20)/1000000000)</f>
        <v>0</v>
      </c>
      <c r="E20" s="61">
        <f>(SUMIFS('MAIN DATA, Orders'!$M:$M,'MAIN DATA, Orders'!$C:$C,"Germany",'MAIN DATA, Orders'!$G:$G,"Missile (Naval)",'MAIN DATA, Orders'!$Q:$Q,$A20)/1000000000)</f>
        <v>0</v>
      </c>
    </row>
    <row r="21" spans="1:5">
      <c r="A21" s="72">
        <v>15</v>
      </c>
      <c r="B21" s="68">
        <v>44256</v>
      </c>
      <c r="C21" s="61">
        <f>(SUMIFS('MAIN DATA, Orders'!$M:$M,'MAIN DATA, Orders'!$C:$C,"Germany",'MAIN DATA, Orders'!$G:$G,"Missile (Land)",'MAIN DATA, Orders'!$Q:$Q,$A21)/1000000000)</f>
        <v>0</v>
      </c>
      <c r="D21" s="61">
        <f>(SUMIFS('MAIN DATA, Orders'!$M:$M,'MAIN DATA, Orders'!$C:$C,"Germany",'MAIN DATA, Orders'!$G:$G,"Missile (Air)",'MAIN DATA, Orders'!$Q:$Q,$A21)/1000000000)</f>
        <v>0</v>
      </c>
      <c r="E21" s="61">
        <f>(SUMIFS('MAIN DATA, Orders'!$M:$M,'MAIN DATA, Orders'!$C:$C,"Germany",'MAIN DATA, Orders'!$G:$G,"Missile (Naval)",'MAIN DATA, Orders'!$Q:$Q,$A21)/1000000000)</f>
        <v>0</v>
      </c>
    </row>
    <row r="22" spans="1:5">
      <c r="A22" s="72">
        <v>16</v>
      </c>
      <c r="B22" s="68">
        <v>44287</v>
      </c>
      <c r="C22" s="61">
        <f>(SUMIFS('MAIN DATA, Orders'!$M:$M,'MAIN DATA, Orders'!$C:$C,"Germany",'MAIN DATA, Orders'!$G:$G,"Missile (Land)",'MAIN DATA, Orders'!$Q:$Q,$A22)/1000000000)</f>
        <v>0</v>
      </c>
      <c r="D22" s="61">
        <f>(SUMIFS('MAIN DATA, Orders'!$M:$M,'MAIN DATA, Orders'!$C:$C,"Germany",'MAIN DATA, Orders'!$G:$G,"Missile (Air)",'MAIN DATA, Orders'!$Q:$Q,$A22)/1000000000)</f>
        <v>0</v>
      </c>
      <c r="E22" s="61">
        <f>(SUMIFS('MAIN DATA, Orders'!$M:$M,'MAIN DATA, Orders'!$C:$C,"Germany",'MAIN DATA, Orders'!$G:$G,"Missile (Naval)",'MAIN DATA, Orders'!$Q:$Q,$A22)/1000000000)</f>
        <v>0</v>
      </c>
    </row>
    <row r="23" spans="1:5">
      <c r="A23" s="72">
        <v>17</v>
      </c>
      <c r="B23" s="68">
        <v>44317</v>
      </c>
      <c r="C23" s="61">
        <f>(SUMIFS('MAIN DATA, Orders'!$M:$M,'MAIN DATA, Orders'!$C:$C,"Germany",'MAIN DATA, Orders'!$G:$G,"Missile (Land)",'MAIN DATA, Orders'!$Q:$Q,$A23)/1000000000)</f>
        <v>0</v>
      </c>
      <c r="D23" s="61">
        <f>(SUMIFS('MAIN DATA, Orders'!$M:$M,'MAIN DATA, Orders'!$C:$C,"Germany",'MAIN DATA, Orders'!$G:$G,"Missile (Air)",'MAIN DATA, Orders'!$Q:$Q,$A23)/1000000000)</f>
        <v>0</v>
      </c>
      <c r="E23" s="61">
        <f>(SUMIFS('MAIN DATA, Orders'!$M:$M,'MAIN DATA, Orders'!$C:$C,"Germany",'MAIN DATA, Orders'!$G:$G,"Missile (Naval)",'MAIN DATA, Orders'!$Q:$Q,$A23)/1000000000)</f>
        <v>0</v>
      </c>
    </row>
    <row r="24" spans="1:5">
      <c r="A24" s="72">
        <v>18</v>
      </c>
      <c r="B24" s="68">
        <v>44348</v>
      </c>
      <c r="C24" s="61">
        <f>(SUMIFS('MAIN DATA, Orders'!$M:$M,'MAIN DATA, Orders'!$C:$C,"Germany",'MAIN DATA, Orders'!$G:$G,"Missile (Land)",'MAIN DATA, Orders'!$Q:$Q,$A24)/1000000000)</f>
        <v>0</v>
      </c>
      <c r="D24" s="61">
        <f>(SUMIFS('MAIN DATA, Orders'!$M:$M,'MAIN DATA, Orders'!$C:$C,"Germany",'MAIN DATA, Orders'!$G:$G,"Missile (Air)",'MAIN DATA, Orders'!$Q:$Q,$A24)/1000000000)</f>
        <v>0</v>
      </c>
      <c r="E24" s="61">
        <f>(SUMIFS('MAIN DATA, Orders'!$M:$M,'MAIN DATA, Orders'!$C:$C,"Germany",'MAIN DATA, Orders'!$G:$G,"Missile (Naval)",'MAIN DATA, Orders'!$Q:$Q,$A24)/1000000000)</f>
        <v>0.42499999999999999</v>
      </c>
    </row>
    <row r="25" spans="1:5">
      <c r="A25" s="72">
        <v>19</v>
      </c>
      <c r="B25" s="68">
        <v>44378</v>
      </c>
      <c r="C25" s="61">
        <f>(SUMIFS('MAIN DATA, Orders'!$M:$M,'MAIN DATA, Orders'!$C:$C,"Germany",'MAIN DATA, Orders'!$G:$G,"Missile (Land)",'MAIN DATA, Orders'!$Q:$Q,$A25)/1000000000)</f>
        <v>0</v>
      </c>
      <c r="D25" s="61">
        <f>(SUMIFS('MAIN DATA, Orders'!$M:$M,'MAIN DATA, Orders'!$C:$C,"Germany",'MAIN DATA, Orders'!$G:$G,"Missile (Air)",'MAIN DATA, Orders'!$Q:$Q,$A25)/1000000000)</f>
        <v>0</v>
      </c>
      <c r="E25" s="61">
        <f>(SUMIFS('MAIN DATA, Orders'!$M:$M,'MAIN DATA, Orders'!$C:$C,"Germany",'MAIN DATA, Orders'!$G:$G,"Missile (Naval)",'MAIN DATA, Orders'!$Q:$Q,$A25)/1000000000)</f>
        <v>0</v>
      </c>
    </row>
    <row r="26" spans="1:5">
      <c r="A26" s="72">
        <v>20</v>
      </c>
      <c r="B26" s="68">
        <v>44409</v>
      </c>
      <c r="C26" s="61">
        <f>(SUMIFS('MAIN DATA, Orders'!$M:$M,'MAIN DATA, Orders'!$C:$C,"Germany",'MAIN DATA, Orders'!$G:$G,"Missile (Land)",'MAIN DATA, Orders'!$Q:$Q,$A26)/1000000000)</f>
        <v>0</v>
      </c>
      <c r="D26" s="61">
        <f>(SUMIFS('MAIN DATA, Orders'!$M:$M,'MAIN DATA, Orders'!$C:$C,"Germany",'MAIN DATA, Orders'!$G:$G,"Missile (Air)",'MAIN DATA, Orders'!$Q:$Q,$A26)/1000000000)</f>
        <v>0</v>
      </c>
      <c r="E26" s="61">
        <f>(SUMIFS('MAIN DATA, Orders'!$M:$M,'MAIN DATA, Orders'!$C:$C,"Germany",'MAIN DATA, Orders'!$G:$G,"Missile (Naval)",'MAIN DATA, Orders'!$Q:$Q,$A26)/1000000000)</f>
        <v>0</v>
      </c>
    </row>
    <row r="27" spans="1:5">
      <c r="A27" s="72">
        <v>21</v>
      </c>
      <c r="B27" s="68">
        <v>44440</v>
      </c>
      <c r="C27" s="61">
        <f>(SUMIFS('MAIN DATA, Orders'!$M:$M,'MAIN DATA, Orders'!$C:$C,"Germany",'MAIN DATA, Orders'!$G:$G,"Missile (Land)",'MAIN DATA, Orders'!$Q:$Q,$A27)/1000000000)</f>
        <v>0</v>
      </c>
      <c r="D27" s="61">
        <f>(SUMIFS('MAIN DATA, Orders'!$M:$M,'MAIN DATA, Orders'!$C:$C,"Germany",'MAIN DATA, Orders'!$G:$G,"Missile (Air)",'MAIN DATA, Orders'!$Q:$Q,$A27)/1000000000)</f>
        <v>0</v>
      </c>
      <c r="E27" s="61">
        <f>(SUMIFS('MAIN DATA, Orders'!$M:$M,'MAIN DATA, Orders'!$C:$C,"Germany",'MAIN DATA, Orders'!$G:$G,"Missile (Naval)",'MAIN DATA, Orders'!$Q:$Q,$A27)/1000000000)</f>
        <v>0</v>
      </c>
    </row>
    <row r="28" spans="1:5">
      <c r="A28" s="72">
        <v>22</v>
      </c>
      <c r="B28" s="68">
        <v>44470</v>
      </c>
      <c r="C28" s="61">
        <f>(SUMIFS('MAIN DATA, Orders'!$M:$M,'MAIN DATA, Orders'!$C:$C,"Germany",'MAIN DATA, Orders'!$G:$G,"Missile (Land)",'MAIN DATA, Orders'!$Q:$Q,$A28)/1000000000)</f>
        <v>0</v>
      </c>
      <c r="D28" s="61">
        <f>(SUMIFS('MAIN DATA, Orders'!$M:$M,'MAIN DATA, Orders'!$C:$C,"Germany",'MAIN DATA, Orders'!$G:$G,"Missile (Air)",'MAIN DATA, Orders'!$Q:$Q,$A28)/1000000000)</f>
        <v>0</v>
      </c>
      <c r="E28" s="61">
        <f>(SUMIFS('MAIN DATA, Orders'!$M:$M,'MAIN DATA, Orders'!$C:$C,"Germany",'MAIN DATA, Orders'!$G:$G,"Missile (Naval)",'MAIN DATA, Orders'!$Q:$Q,$A28)/1000000000)</f>
        <v>0</v>
      </c>
    </row>
    <row r="29" spans="1:5">
      <c r="A29" s="72">
        <v>23</v>
      </c>
      <c r="B29" s="68">
        <v>44501</v>
      </c>
      <c r="C29" s="61">
        <f>(SUMIFS('MAIN DATA, Orders'!$M:$M,'MAIN DATA, Orders'!$C:$C,"Germany",'MAIN DATA, Orders'!$G:$G,"Missile (Land)",'MAIN DATA, Orders'!$Q:$Q,$A29)/1000000000)</f>
        <v>0</v>
      </c>
      <c r="D29" s="61">
        <f>(SUMIFS('MAIN DATA, Orders'!$M:$M,'MAIN DATA, Orders'!$C:$C,"Germany",'MAIN DATA, Orders'!$G:$G,"Missile (Air)",'MAIN DATA, Orders'!$Q:$Q,$A29)/1000000000)</f>
        <v>0</v>
      </c>
      <c r="E29" s="61">
        <f>(SUMIFS('MAIN DATA, Orders'!$M:$M,'MAIN DATA, Orders'!$C:$C,"Germany",'MAIN DATA, Orders'!$G:$G,"Missile (Naval)",'MAIN DATA, Orders'!$Q:$Q,$A29)/1000000000)</f>
        <v>0</v>
      </c>
    </row>
    <row r="30" spans="1:5">
      <c r="A30" s="72">
        <v>24</v>
      </c>
      <c r="B30" s="68">
        <v>44531</v>
      </c>
      <c r="C30" s="61">
        <f>(SUMIFS('MAIN DATA, Orders'!$M:$M,'MAIN DATA, Orders'!$C:$C,"Germany",'MAIN DATA, Orders'!$G:$G,"Missile (Land)",'MAIN DATA, Orders'!$Q:$Q,$A30)/1000000000)</f>
        <v>0</v>
      </c>
      <c r="D30" s="61">
        <f>(SUMIFS('MAIN DATA, Orders'!$M:$M,'MAIN DATA, Orders'!$C:$C,"Germany",'MAIN DATA, Orders'!$G:$G,"Missile (Air)",'MAIN DATA, Orders'!$Q:$Q,$A30)/1000000000)</f>
        <v>0</v>
      </c>
      <c r="E30" s="61">
        <f>(SUMIFS('MAIN DATA, Orders'!$M:$M,'MAIN DATA, Orders'!$C:$C,"Germany",'MAIN DATA, Orders'!$G:$G,"Missile (Naval)",'MAIN DATA, Orders'!$Q:$Q,$A30)/1000000000)</f>
        <v>0</v>
      </c>
    </row>
    <row r="31" spans="1:5">
      <c r="A31" s="72">
        <v>25</v>
      </c>
      <c r="B31" s="68">
        <v>44562</v>
      </c>
      <c r="C31" s="61">
        <f>(SUMIFS('MAIN DATA, Orders'!$M:$M,'MAIN DATA, Orders'!$C:$C,"Germany",'MAIN DATA, Orders'!$G:$G,"Missile (Land)",'MAIN DATA, Orders'!$Q:$Q,$A31)/1000000000)</f>
        <v>0</v>
      </c>
      <c r="D31" s="61">
        <f>(SUMIFS('MAIN DATA, Orders'!$M:$M,'MAIN DATA, Orders'!$C:$C,"Germany",'MAIN DATA, Orders'!$G:$G,"Missile (Air)",'MAIN DATA, Orders'!$Q:$Q,$A31)/1000000000)</f>
        <v>0</v>
      </c>
      <c r="E31" s="61">
        <f>(SUMIFS('MAIN DATA, Orders'!$M:$M,'MAIN DATA, Orders'!$C:$C,"Germany",'MAIN DATA, Orders'!$G:$G,"Missile (Naval)",'MAIN DATA, Orders'!$Q:$Q,$A31)/1000000000)</f>
        <v>0</v>
      </c>
    </row>
    <row r="32" spans="1:5">
      <c r="A32" s="72">
        <v>26</v>
      </c>
      <c r="B32" s="68">
        <v>44593</v>
      </c>
      <c r="C32" s="61">
        <f>(SUMIFS('MAIN DATA, Orders'!$M:$M,'MAIN DATA, Orders'!$C:$C,"Germany",'MAIN DATA, Orders'!$G:$G,"Missile (Land)",'MAIN DATA, Orders'!$Q:$Q,$A32)/1000000000)</f>
        <v>0</v>
      </c>
      <c r="D32" s="61">
        <f>(SUMIFS('MAIN DATA, Orders'!$M:$M,'MAIN DATA, Orders'!$C:$C,"Germany",'MAIN DATA, Orders'!$G:$G,"Missile (Air)",'MAIN DATA, Orders'!$Q:$Q,$A32)/1000000000)</f>
        <v>0</v>
      </c>
      <c r="E32" s="61">
        <f>(SUMIFS('MAIN DATA, Orders'!$M:$M,'MAIN DATA, Orders'!$C:$C,"Germany",'MAIN DATA, Orders'!$G:$G,"Missile (Naval)",'MAIN DATA, Orders'!$Q:$Q,$A32)/1000000000)</f>
        <v>0</v>
      </c>
    </row>
    <row r="33" spans="1:5">
      <c r="A33" s="72">
        <v>27</v>
      </c>
      <c r="B33" s="68">
        <v>44621</v>
      </c>
      <c r="C33" s="61">
        <f>(SUMIFS('MAIN DATA, Orders'!$M:$M,'MAIN DATA, Orders'!$C:$C,"Germany",'MAIN DATA, Orders'!$G:$G,"Missile (Land)",'MAIN DATA, Orders'!$Q:$Q,$A33)/1000000000)</f>
        <v>0</v>
      </c>
      <c r="D33" s="61">
        <f>(SUMIFS('MAIN DATA, Orders'!$M:$M,'MAIN DATA, Orders'!$C:$C,"Germany",'MAIN DATA, Orders'!$G:$G,"Missile (Air)",'MAIN DATA, Orders'!$Q:$Q,$A33)/1000000000)</f>
        <v>0</v>
      </c>
      <c r="E33" s="61">
        <f>(SUMIFS('MAIN DATA, Orders'!$M:$M,'MAIN DATA, Orders'!$C:$C,"Germany",'MAIN DATA, Orders'!$G:$G,"Missile (Naval)",'MAIN DATA, Orders'!$Q:$Q,$A33)/1000000000)</f>
        <v>0</v>
      </c>
    </row>
    <row r="34" spans="1:5">
      <c r="A34" s="72">
        <v>28</v>
      </c>
      <c r="B34" s="68">
        <v>44652</v>
      </c>
      <c r="C34" s="61">
        <f>(SUMIFS('MAIN DATA, Orders'!$M:$M,'MAIN DATA, Orders'!$C:$C,"Germany",'MAIN DATA, Orders'!$G:$G,"Missile (Land)",'MAIN DATA, Orders'!$Q:$Q,$A34)/1000000000)</f>
        <v>0.15</v>
      </c>
      <c r="D34" s="61">
        <f>(SUMIFS('MAIN DATA, Orders'!$M:$M,'MAIN DATA, Orders'!$C:$C,"Germany",'MAIN DATA, Orders'!$G:$G,"Missile (Air)",'MAIN DATA, Orders'!$Q:$Q,$A34)/1000000000)</f>
        <v>0</v>
      </c>
      <c r="E34" s="61">
        <f>(SUMIFS('MAIN DATA, Orders'!$M:$M,'MAIN DATA, Orders'!$C:$C,"Germany",'MAIN DATA, Orders'!$G:$G,"Missile (Naval)",'MAIN DATA, Orders'!$Q:$Q,$A34)/1000000000)</f>
        <v>0</v>
      </c>
    </row>
    <row r="35" spans="1:5">
      <c r="A35" s="72">
        <v>29</v>
      </c>
      <c r="B35" s="68">
        <v>44682</v>
      </c>
      <c r="C35" s="61">
        <f>(SUMIFS('MAIN DATA, Orders'!$M:$M,'MAIN DATA, Orders'!$C:$C,"Germany",'MAIN DATA, Orders'!$G:$G,"Missile (Land)",'MAIN DATA, Orders'!$Q:$Q,$A35)/1000000000)</f>
        <v>0</v>
      </c>
      <c r="D35" s="61">
        <f>(SUMIFS('MAIN DATA, Orders'!$M:$M,'MAIN DATA, Orders'!$C:$C,"Germany",'MAIN DATA, Orders'!$G:$G,"Missile (Air)",'MAIN DATA, Orders'!$Q:$Q,$A35)/1000000000)</f>
        <v>0</v>
      </c>
      <c r="E35" s="61">
        <f>(SUMIFS('MAIN DATA, Orders'!$M:$M,'MAIN DATA, Orders'!$C:$C,"Germany",'MAIN DATA, Orders'!$G:$G,"Missile (Naval)",'MAIN DATA, Orders'!$Q:$Q,$A35)/1000000000)</f>
        <v>0</v>
      </c>
    </row>
    <row r="36" spans="1:5">
      <c r="A36" s="72">
        <v>30</v>
      </c>
      <c r="B36" s="68">
        <v>44713</v>
      </c>
      <c r="C36" s="61">
        <f>(SUMIFS('MAIN DATA, Orders'!$M:$M,'MAIN DATA, Orders'!$C:$C,"Germany",'MAIN DATA, Orders'!$G:$G,"Missile (Land)",'MAIN DATA, Orders'!$Q:$Q,$A36)/1000000000)</f>
        <v>0</v>
      </c>
      <c r="D36" s="61">
        <f>(SUMIFS('MAIN DATA, Orders'!$M:$M,'MAIN DATA, Orders'!$C:$C,"Germany",'MAIN DATA, Orders'!$G:$G,"Missile (Air)",'MAIN DATA, Orders'!$Q:$Q,$A36)/1000000000)</f>
        <v>0</v>
      </c>
      <c r="E36" s="61">
        <f>(SUMIFS('MAIN DATA, Orders'!$M:$M,'MAIN DATA, Orders'!$C:$C,"Germany",'MAIN DATA, Orders'!$G:$G,"Missile (Naval)",'MAIN DATA, Orders'!$Q:$Q,$A36)/1000000000)</f>
        <v>0</v>
      </c>
    </row>
    <row r="37" spans="1:5">
      <c r="A37" s="72">
        <v>31</v>
      </c>
      <c r="B37" s="68">
        <v>44743</v>
      </c>
      <c r="C37" s="61">
        <f>(SUMIFS('MAIN DATA, Orders'!$M:$M,'MAIN DATA, Orders'!$C:$C,"Germany",'MAIN DATA, Orders'!$G:$G,"Missile (Land)",'MAIN DATA, Orders'!$Q:$Q,$A37)/1000000000)</f>
        <v>0</v>
      </c>
      <c r="D37" s="61">
        <f>(SUMIFS('MAIN DATA, Orders'!$M:$M,'MAIN DATA, Orders'!$C:$C,"Germany",'MAIN DATA, Orders'!$G:$G,"Missile (Air)",'MAIN DATA, Orders'!$Q:$Q,$A37)/1000000000)</f>
        <v>0</v>
      </c>
      <c r="E37" s="61">
        <f>(SUMIFS('MAIN DATA, Orders'!$M:$M,'MAIN DATA, Orders'!$C:$C,"Germany",'MAIN DATA, Orders'!$G:$G,"Missile (Naval)",'MAIN DATA, Orders'!$Q:$Q,$A37)/1000000000)</f>
        <v>0</v>
      </c>
    </row>
    <row r="38" spans="1:5">
      <c r="A38" s="72">
        <v>32</v>
      </c>
      <c r="B38" s="68">
        <v>44774</v>
      </c>
      <c r="C38" s="61">
        <f>(SUMIFS('MAIN DATA, Orders'!$M:$M,'MAIN DATA, Orders'!$C:$C,"Germany",'MAIN DATA, Orders'!$G:$G,"Missile (Land)",'MAIN DATA, Orders'!$Q:$Q,$A38)/1000000000)</f>
        <v>0</v>
      </c>
      <c r="D38" s="61">
        <f>(SUMIFS('MAIN DATA, Orders'!$M:$M,'MAIN DATA, Orders'!$C:$C,"Germany",'MAIN DATA, Orders'!$G:$G,"Missile (Air)",'MAIN DATA, Orders'!$Q:$Q,$A38)/1000000000)</f>
        <v>0</v>
      </c>
      <c r="E38" s="61">
        <f>(SUMIFS('MAIN DATA, Orders'!$M:$M,'MAIN DATA, Orders'!$C:$C,"Germany",'MAIN DATA, Orders'!$G:$G,"Missile (Naval)",'MAIN DATA, Orders'!$Q:$Q,$A38)/1000000000)</f>
        <v>0</v>
      </c>
    </row>
    <row r="39" spans="1:5">
      <c r="A39" s="72">
        <v>33</v>
      </c>
      <c r="B39" s="68">
        <v>44805</v>
      </c>
      <c r="C39" s="61">
        <f>(SUMIFS('MAIN DATA, Orders'!$M:$M,'MAIN DATA, Orders'!$C:$C,"Germany",'MAIN DATA, Orders'!$G:$G,"Missile (Land)",'MAIN DATA, Orders'!$Q:$Q,$A39)/1000000000)</f>
        <v>0</v>
      </c>
      <c r="D39" s="61">
        <f>(SUMIFS('MAIN DATA, Orders'!$M:$M,'MAIN DATA, Orders'!$C:$C,"Germany",'MAIN DATA, Orders'!$G:$G,"Missile (Air)",'MAIN DATA, Orders'!$Q:$Q,$A39)/1000000000)</f>
        <v>0</v>
      </c>
      <c r="E39" s="61">
        <f>(SUMIFS('MAIN DATA, Orders'!$M:$M,'MAIN DATA, Orders'!$C:$C,"Germany",'MAIN DATA, Orders'!$G:$G,"Missile (Naval)",'MAIN DATA, Orders'!$Q:$Q,$A39)/1000000000)</f>
        <v>0.63700000000000001</v>
      </c>
    </row>
    <row r="40" spans="1:5">
      <c r="A40" s="72">
        <v>34</v>
      </c>
      <c r="B40" s="68">
        <v>44835</v>
      </c>
      <c r="C40" s="61">
        <f>(SUMIFS('MAIN DATA, Orders'!$M:$M,'MAIN DATA, Orders'!$C:$C,"Germany",'MAIN DATA, Orders'!$G:$G,"Missile (Land)",'MAIN DATA, Orders'!$Q:$Q,$A40)/1000000000)</f>
        <v>0</v>
      </c>
      <c r="D40" s="61">
        <f>(SUMIFS('MAIN DATA, Orders'!$M:$M,'MAIN DATA, Orders'!$C:$C,"Germany",'MAIN DATA, Orders'!$G:$G,"Missile (Air)",'MAIN DATA, Orders'!$Q:$Q,$A40)/1000000000)</f>
        <v>0</v>
      </c>
      <c r="E40" s="61">
        <f>(SUMIFS('MAIN DATA, Orders'!$M:$M,'MAIN DATA, Orders'!$C:$C,"Germany",'MAIN DATA, Orders'!$G:$G,"Missile (Naval)",'MAIN DATA, Orders'!$Q:$Q,$A40)/1000000000)</f>
        <v>0</v>
      </c>
    </row>
    <row r="41" spans="1:5">
      <c r="A41" s="72">
        <v>35</v>
      </c>
      <c r="B41" s="68">
        <v>44866</v>
      </c>
      <c r="C41" s="61">
        <f>(SUMIFS('MAIN DATA, Orders'!$M:$M,'MAIN DATA, Orders'!$C:$C,"Germany",'MAIN DATA, Orders'!$G:$G,"Missile (Land)",'MAIN DATA, Orders'!$Q:$Q,$A41)/1000000000)</f>
        <v>0</v>
      </c>
      <c r="D41" s="61">
        <f>(SUMIFS('MAIN DATA, Orders'!$M:$M,'MAIN DATA, Orders'!$C:$C,"Germany",'MAIN DATA, Orders'!$G:$G,"Missile (Air)",'MAIN DATA, Orders'!$Q:$Q,$A41)/1000000000)</f>
        <v>0</v>
      </c>
      <c r="E41" s="61">
        <f>(SUMIFS('MAIN DATA, Orders'!$M:$M,'MAIN DATA, Orders'!$C:$C,"Germany",'MAIN DATA, Orders'!$G:$G,"Missile (Naval)",'MAIN DATA, Orders'!$Q:$Q,$A41)/1000000000)</f>
        <v>0</v>
      </c>
    </row>
    <row r="42" spans="1:5">
      <c r="A42" s="72">
        <v>36</v>
      </c>
      <c r="B42" s="68">
        <v>44896</v>
      </c>
      <c r="C42" s="61">
        <f>(SUMIFS('MAIN DATA, Orders'!$M:$M,'MAIN DATA, Orders'!$C:$C,"Germany",'MAIN DATA, Orders'!$G:$G,"Missile (Land)",'MAIN DATA, Orders'!$Q:$Q,$A42)/1000000000)</f>
        <v>0</v>
      </c>
      <c r="D42" s="61">
        <f>(SUMIFS('MAIN DATA, Orders'!$M:$M,'MAIN DATA, Orders'!$C:$C,"Germany",'MAIN DATA, Orders'!$G:$G,"Missile (Air)",'MAIN DATA, Orders'!$Q:$Q,$A42)/1000000000)</f>
        <v>0</v>
      </c>
      <c r="E42" s="61">
        <f>(SUMIFS('MAIN DATA, Orders'!$M:$M,'MAIN DATA, Orders'!$C:$C,"Germany",'MAIN DATA, Orders'!$G:$G,"Missile (Naval)",'MAIN DATA, Orders'!$Q:$Q,$A42)/1000000000)</f>
        <v>0</v>
      </c>
    </row>
    <row r="43" spans="1:5">
      <c r="A43" s="72">
        <v>37</v>
      </c>
      <c r="B43" s="68">
        <v>44927</v>
      </c>
      <c r="C43" s="61">
        <f>(SUMIFS('MAIN DATA, Orders'!$M:$M,'MAIN DATA, Orders'!$C:$C,"Germany",'MAIN DATA, Orders'!$G:$G,"Missile (Land)",'MAIN DATA, Orders'!$Q:$Q,$A43)/1000000000)</f>
        <v>0</v>
      </c>
      <c r="D43" s="61">
        <f>(SUMIFS('MAIN DATA, Orders'!$M:$M,'MAIN DATA, Orders'!$C:$C,"Germany",'MAIN DATA, Orders'!$G:$G,"Missile (Air)",'MAIN DATA, Orders'!$Q:$Q,$A43)/1000000000)</f>
        <v>0</v>
      </c>
      <c r="E43" s="61">
        <f>(SUMIFS('MAIN DATA, Orders'!$M:$M,'MAIN DATA, Orders'!$C:$C,"Germany",'MAIN DATA, Orders'!$G:$G,"Missile (Naval)",'MAIN DATA, Orders'!$Q:$Q,$A43)/1000000000)</f>
        <v>0</v>
      </c>
    </row>
    <row r="44" spans="1:5">
      <c r="A44" s="72">
        <v>38</v>
      </c>
      <c r="B44" s="68">
        <v>44958</v>
      </c>
      <c r="C44" s="61">
        <f>(SUMIFS('MAIN DATA, Orders'!$M:$M,'MAIN DATA, Orders'!$C:$C,"Germany",'MAIN DATA, Orders'!$G:$G,"Missile (Land)",'MAIN DATA, Orders'!$Q:$Q,$A44)/1000000000)</f>
        <v>0</v>
      </c>
      <c r="D44" s="61">
        <f>(SUMIFS('MAIN DATA, Orders'!$M:$M,'MAIN DATA, Orders'!$C:$C,"Germany",'MAIN DATA, Orders'!$G:$G,"Missile (Air)",'MAIN DATA, Orders'!$Q:$Q,$A44)/1000000000)</f>
        <v>0</v>
      </c>
      <c r="E44" s="61">
        <f>(SUMIFS('MAIN DATA, Orders'!$M:$M,'MAIN DATA, Orders'!$C:$C,"Germany",'MAIN DATA, Orders'!$G:$G,"Missile (Naval)",'MAIN DATA, Orders'!$Q:$Q,$A44)/1000000000)</f>
        <v>0</v>
      </c>
    </row>
    <row r="45" spans="1:5">
      <c r="A45" s="72">
        <v>39</v>
      </c>
      <c r="B45" s="68">
        <v>44986</v>
      </c>
      <c r="C45" s="61">
        <f>(SUMIFS('MAIN DATA, Orders'!$M:$M,'MAIN DATA, Orders'!$C:$C,"Germany",'MAIN DATA, Orders'!$G:$G,"Missile (Land)",'MAIN DATA, Orders'!$Q:$Q,$A45)/1000000000)</f>
        <v>0</v>
      </c>
      <c r="D45" s="61">
        <f>(SUMIFS('MAIN DATA, Orders'!$M:$M,'MAIN DATA, Orders'!$C:$C,"Germany",'MAIN DATA, Orders'!$G:$G,"Missile (Air)",'MAIN DATA, Orders'!$Q:$Q,$A45)/1000000000)</f>
        <v>0</v>
      </c>
      <c r="E45" s="61">
        <f>(SUMIFS('MAIN DATA, Orders'!$M:$M,'MAIN DATA, Orders'!$C:$C,"Germany",'MAIN DATA, Orders'!$G:$G,"Missile (Naval)",'MAIN DATA, Orders'!$Q:$Q,$A45)/1000000000)</f>
        <v>0</v>
      </c>
    </row>
    <row r="46" spans="1:5">
      <c r="A46" s="72">
        <v>40</v>
      </c>
      <c r="B46" s="68">
        <v>45017</v>
      </c>
      <c r="C46" s="61">
        <f>(SUMIFS('MAIN DATA, Orders'!$M:$M,'MAIN DATA, Orders'!$C:$C,"Germany",'MAIN DATA, Orders'!$G:$G,"Missile (Land)",'MAIN DATA, Orders'!$Q:$Q,$A46)/1000000000)</f>
        <v>0</v>
      </c>
      <c r="D46" s="61">
        <f>(SUMIFS('MAIN DATA, Orders'!$M:$M,'MAIN DATA, Orders'!$C:$C,"Germany",'MAIN DATA, Orders'!$G:$G,"Missile (Air)",'MAIN DATA, Orders'!$Q:$Q,$A46)/1000000000)</f>
        <v>0</v>
      </c>
      <c r="E46" s="61">
        <f>(SUMIFS('MAIN DATA, Orders'!$M:$M,'MAIN DATA, Orders'!$C:$C,"Germany",'MAIN DATA, Orders'!$G:$G,"Missile (Naval)",'MAIN DATA, Orders'!$Q:$Q,$A46)/1000000000)</f>
        <v>0.26900000000000002</v>
      </c>
    </row>
    <row r="47" spans="1:5">
      <c r="A47" s="72">
        <v>41</v>
      </c>
      <c r="B47" s="68">
        <v>45047</v>
      </c>
      <c r="C47" s="61">
        <f>(SUMIFS('MAIN DATA, Orders'!$M:$M,'MAIN DATA, Orders'!$C:$C,"Germany",'MAIN DATA, Orders'!$G:$G,"Missile (Land)",'MAIN DATA, Orders'!$Q:$Q,$A47)/1000000000)</f>
        <v>0</v>
      </c>
      <c r="D47" s="61">
        <f>(SUMIFS('MAIN DATA, Orders'!$M:$M,'MAIN DATA, Orders'!$C:$C,"Germany",'MAIN DATA, Orders'!$G:$G,"Missile (Air)",'MAIN DATA, Orders'!$Q:$Q,$A47)/1000000000)</f>
        <v>0</v>
      </c>
      <c r="E47" s="61">
        <f>(SUMIFS('MAIN DATA, Orders'!$M:$M,'MAIN DATA, Orders'!$C:$C,"Germany",'MAIN DATA, Orders'!$G:$G,"Missile (Naval)",'MAIN DATA, Orders'!$Q:$Q,$A47)/1000000000)</f>
        <v>0</v>
      </c>
    </row>
    <row r="48" spans="1:5">
      <c r="A48" s="72">
        <v>42</v>
      </c>
      <c r="B48" s="68">
        <v>45078</v>
      </c>
      <c r="C48" s="61">
        <f>(SUMIFS('MAIN DATA, Orders'!$M:$M,'MAIN DATA, Orders'!$C:$C,"Germany",'MAIN DATA, Orders'!$G:$G,"Missile (Land)",'MAIN DATA, Orders'!$Q:$Q,$A48)/1000000000)</f>
        <v>0</v>
      </c>
      <c r="D48" s="61">
        <f>(SUMIFS('MAIN DATA, Orders'!$M:$M,'MAIN DATA, Orders'!$C:$C,"Germany",'MAIN DATA, Orders'!$G:$G,"Missile (Air)",'MAIN DATA, Orders'!$Q:$Q,$A48)/1000000000)</f>
        <v>0</v>
      </c>
      <c r="E48" s="61">
        <f>(SUMIFS('MAIN DATA, Orders'!$M:$M,'MAIN DATA, Orders'!$C:$C,"Germany",'MAIN DATA, Orders'!$G:$G,"Missile (Naval)",'MAIN DATA, Orders'!$Q:$Q,$A48)/1000000000)</f>
        <v>0</v>
      </c>
    </row>
    <row r="49" spans="1:5">
      <c r="A49" s="72">
        <v>43</v>
      </c>
      <c r="B49" s="68">
        <v>45108</v>
      </c>
      <c r="C49" s="61">
        <f>(SUMIFS('MAIN DATA, Orders'!$M:$M,'MAIN DATA, Orders'!$C:$C,"Germany",'MAIN DATA, Orders'!$G:$G,"Missile (Land)",'MAIN DATA, Orders'!$Q:$Q,$A49)/1000000000)</f>
        <v>0</v>
      </c>
      <c r="D49" s="61">
        <f>(SUMIFS('MAIN DATA, Orders'!$M:$M,'MAIN DATA, Orders'!$C:$C,"Germany",'MAIN DATA, Orders'!$G:$G,"Missile (Air)",'MAIN DATA, Orders'!$Q:$Q,$A49)/1000000000)</f>
        <v>0</v>
      </c>
      <c r="E49" s="61">
        <f>(SUMIFS('MAIN DATA, Orders'!$M:$M,'MAIN DATA, Orders'!$C:$C,"Germany",'MAIN DATA, Orders'!$G:$G,"Missile (Naval)",'MAIN DATA, Orders'!$Q:$Q,$A49)/1000000000)</f>
        <v>0</v>
      </c>
    </row>
    <row r="50" spans="1:5">
      <c r="A50" s="72">
        <v>44</v>
      </c>
      <c r="B50" s="68">
        <v>45139</v>
      </c>
      <c r="C50" s="61">
        <f>(SUMIFS('MAIN DATA, Orders'!$M:$M,'MAIN DATA, Orders'!$C:$C,"Germany",'MAIN DATA, Orders'!$G:$G,"Missile (Land)",'MAIN DATA, Orders'!$Q:$Q,$A50)/1000000000)</f>
        <v>0</v>
      </c>
      <c r="D50" s="61">
        <f>(SUMIFS('MAIN DATA, Orders'!$M:$M,'MAIN DATA, Orders'!$C:$C,"Germany",'MAIN DATA, Orders'!$G:$G,"Missile (Air)",'MAIN DATA, Orders'!$Q:$Q,$A50)/1000000000)</f>
        <v>0</v>
      </c>
      <c r="E50" s="61">
        <f>(SUMIFS('MAIN DATA, Orders'!$M:$M,'MAIN DATA, Orders'!$C:$C,"Germany",'MAIN DATA, Orders'!$G:$G,"Missile (Naval)",'MAIN DATA, Orders'!$Q:$Q,$A50)/1000000000)</f>
        <v>0</v>
      </c>
    </row>
    <row r="51" spans="1:5">
      <c r="A51" s="72">
        <v>45</v>
      </c>
      <c r="B51" s="68">
        <v>45170</v>
      </c>
      <c r="C51" s="61">
        <f>(SUMIFS('MAIN DATA, Orders'!$M:$M,'MAIN DATA, Orders'!$C:$C,"Germany",'MAIN DATA, Orders'!$G:$G,"Missile (Land)",'MAIN DATA, Orders'!$Q:$Q,$A51)/1000000000)</f>
        <v>0</v>
      </c>
      <c r="D51" s="61">
        <f>(SUMIFS('MAIN DATA, Orders'!$M:$M,'MAIN DATA, Orders'!$C:$C,"Germany",'MAIN DATA, Orders'!$G:$G,"Missile (Air)",'MAIN DATA, Orders'!$Q:$Q,$A51)/1000000000)</f>
        <v>0</v>
      </c>
      <c r="E51" s="61">
        <f>(SUMIFS('MAIN DATA, Orders'!$M:$M,'MAIN DATA, Orders'!$C:$C,"Germany",'MAIN DATA, Orders'!$G:$G,"Missile (Naval)",'MAIN DATA, Orders'!$Q:$Q,$A51)/1000000000)</f>
        <v>0</v>
      </c>
    </row>
    <row r="52" spans="1:5">
      <c r="A52" s="72">
        <v>46</v>
      </c>
      <c r="B52" s="68">
        <v>45200</v>
      </c>
      <c r="C52" s="61">
        <f>(SUMIFS('MAIN DATA, Orders'!$M:$M,'MAIN DATA, Orders'!$C:$C,"Germany",'MAIN DATA, Orders'!$G:$G,"Missile (Land)",'MAIN DATA, Orders'!$Q:$Q,$A52)/1000000000)</f>
        <v>0</v>
      </c>
      <c r="D52" s="61">
        <f>(SUMIFS('MAIN DATA, Orders'!$M:$M,'MAIN DATA, Orders'!$C:$C,"Germany",'MAIN DATA, Orders'!$G:$G,"Missile (Air)",'MAIN DATA, Orders'!$Q:$Q,$A52)/1000000000)</f>
        <v>0</v>
      </c>
      <c r="E52" s="61">
        <f>(SUMIFS('MAIN DATA, Orders'!$M:$M,'MAIN DATA, Orders'!$C:$C,"Germany",'MAIN DATA, Orders'!$G:$G,"Missile (Naval)",'MAIN DATA, Orders'!$Q:$Q,$A52)/1000000000)</f>
        <v>0</v>
      </c>
    </row>
    <row r="53" spans="1:5">
      <c r="A53" s="72">
        <v>47</v>
      </c>
      <c r="B53" s="68">
        <v>45231</v>
      </c>
      <c r="C53" s="61">
        <f>(SUMIFS('MAIN DATA, Orders'!$M:$M,'MAIN DATA, Orders'!$C:$C,"Germany",'MAIN DATA, Orders'!$G:$G,"Missile (Land)",'MAIN DATA, Orders'!$Q:$Q,$A53)/1000000000)</f>
        <v>0</v>
      </c>
      <c r="D53" s="61">
        <f>(SUMIFS('MAIN DATA, Orders'!$M:$M,'MAIN DATA, Orders'!$C:$C,"Germany",'MAIN DATA, Orders'!$G:$G,"Missile (Air)",'MAIN DATA, Orders'!$Q:$Q,$A53)/1000000000)</f>
        <v>0</v>
      </c>
      <c r="E53" s="61">
        <f>(SUMIFS('MAIN DATA, Orders'!$M:$M,'MAIN DATA, Orders'!$C:$C,"Germany",'MAIN DATA, Orders'!$G:$G,"Missile (Naval)",'MAIN DATA, Orders'!$Q:$Q,$A53)/1000000000)</f>
        <v>0</v>
      </c>
    </row>
    <row r="54" spans="1:5">
      <c r="A54" s="72">
        <v>48</v>
      </c>
      <c r="B54" s="68">
        <v>45261</v>
      </c>
      <c r="C54" s="61">
        <f>(SUMIFS('MAIN DATA, Orders'!$M:$M,'MAIN DATA, Orders'!$C:$C,"Germany",'MAIN DATA, Orders'!$G:$G,"Missile (Land)",'MAIN DATA, Orders'!$Q:$Q,$A54)/1000000000)</f>
        <v>3.0019999999999998</v>
      </c>
      <c r="D54" s="61">
        <f>(SUMIFS('MAIN DATA, Orders'!$M:$M,'MAIN DATA, Orders'!$C:$C,"Germany",'MAIN DATA, Orders'!$G:$G,"Missile (Air)",'MAIN DATA, Orders'!$Q:$Q,$A54)/1000000000)</f>
        <v>0.108</v>
      </c>
      <c r="E54" s="61">
        <f>(SUMIFS('MAIN DATA, Orders'!$M:$M,'MAIN DATA, Orders'!$C:$C,"Germany",'MAIN DATA, Orders'!$G:$G,"Missile (Naval)",'MAIN DATA, Orders'!$Q:$Q,$A54)/1000000000)</f>
        <v>0</v>
      </c>
    </row>
    <row r="55" spans="1:5">
      <c r="A55" s="72">
        <v>49</v>
      </c>
      <c r="B55" s="68">
        <v>45292</v>
      </c>
      <c r="C55" s="61">
        <f>(SUMIFS('MAIN DATA, Orders'!$M:$M,'MAIN DATA, Orders'!$C:$C,"Germany",'MAIN DATA, Orders'!$G:$G,"Missile (Land)",'MAIN DATA, Orders'!$Q:$Q,$A55)/1000000000)</f>
        <v>0</v>
      </c>
      <c r="D55" s="61">
        <f>(SUMIFS('MAIN DATA, Orders'!$M:$M,'MAIN DATA, Orders'!$C:$C,"Germany",'MAIN DATA, Orders'!$G:$G,"Missile (Air)",'MAIN DATA, Orders'!$Q:$Q,$A55)/1000000000)</f>
        <v>0</v>
      </c>
      <c r="E55" s="61">
        <f>(SUMIFS('MAIN DATA, Orders'!$M:$M,'MAIN DATA, Orders'!$C:$C,"Germany",'MAIN DATA, Orders'!$G:$G,"Missile (Naval)",'MAIN DATA, Orders'!$Q:$Q,$A55)/1000000000)</f>
        <v>0</v>
      </c>
    </row>
    <row r="56" spans="1:5">
      <c r="A56" s="72">
        <v>50</v>
      </c>
      <c r="B56" s="68">
        <v>45323</v>
      </c>
      <c r="C56" s="61">
        <f>(SUMIFS('MAIN DATA, Orders'!$M:$M,'MAIN DATA, Orders'!$C:$C,"Germany",'MAIN DATA, Orders'!$G:$G,"Missile (Land)",'MAIN DATA, Orders'!$Q:$Q,$A56)/1000000000)</f>
        <v>0</v>
      </c>
      <c r="D56" s="61">
        <f>(SUMIFS('MAIN DATA, Orders'!$M:$M,'MAIN DATA, Orders'!$C:$C,"Germany",'MAIN DATA, Orders'!$G:$G,"Missile (Air)",'MAIN DATA, Orders'!$Q:$Q,$A56)/1000000000)</f>
        <v>0</v>
      </c>
      <c r="E56" s="61">
        <f>(SUMIFS('MAIN DATA, Orders'!$M:$M,'MAIN DATA, Orders'!$C:$C,"Germany",'MAIN DATA, Orders'!$G:$G,"Missile (Naval)",'MAIN DATA, Orders'!$Q:$Q,$A56)/1000000000)</f>
        <v>0</v>
      </c>
    </row>
    <row r="57" spans="1:5">
      <c r="A57" s="72">
        <v>51</v>
      </c>
      <c r="B57" s="68">
        <v>45352</v>
      </c>
      <c r="C57" s="61">
        <f>(SUMIFS('MAIN DATA, Orders'!$M:$M,'MAIN DATA, Orders'!$C:$C,"Germany",'MAIN DATA, Orders'!$G:$G,"Missile (Land)",'MAIN DATA, Orders'!$Q:$Q,$A57)/1000000000)</f>
        <v>0</v>
      </c>
      <c r="D57" s="61">
        <f>(SUMIFS('MAIN DATA, Orders'!$M:$M,'MAIN DATA, Orders'!$C:$C,"Germany",'MAIN DATA, Orders'!$G:$G,"Missile (Air)",'MAIN DATA, Orders'!$Q:$Q,$A57)/1000000000)</f>
        <v>0</v>
      </c>
      <c r="E57" s="61">
        <f>(SUMIFS('MAIN DATA, Orders'!$M:$M,'MAIN DATA, Orders'!$C:$C,"Germany",'MAIN DATA, Orders'!$G:$G,"Missile (Naval)",'MAIN DATA, Orders'!$Q:$Q,$A57)/1000000000)</f>
        <v>0</v>
      </c>
    </row>
    <row r="58" spans="1:5">
      <c r="A58" s="72">
        <v>52</v>
      </c>
      <c r="B58" s="68">
        <v>45383</v>
      </c>
      <c r="C58" s="61">
        <f>(SUMIFS('MAIN DATA, Orders'!$M:$M,'MAIN DATA, Orders'!$C:$C,"Germany",'MAIN DATA, Orders'!$G:$G,"Missile (Land)",'MAIN DATA, Orders'!$Q:$Q,$A58)/1000000000)</f>
        <v>0</v>
      </c>
      <c r="D58" s="61">
        <f>(SUMIFS('MAIN DATA, Orders'!$M:$M,'MAIN DATA, Orders'!$C:$C,"Germany",'MAIN DATA, Orders'!$G:$G,"Missile (Air)",'MAIN DATA, Orders'!$Q:$Q,$A58)/1000000000)</f>
        <v>0</v>
      </c>
      <c r="E58" s="61">
        <f>(SUMIFS('MAIN DATA, Orders'!$M:$M,'MAIN DATA, Orders'!$C:$C,"Germany",'MAIN DATA, Orders'!$G:$G,"Missile (Naval)",'MAIN DATA, Orders'!$Q:$Q,$A58)/1000000000)</f>
        <v>0</v>
      </c>
    </row>
    <row r="59" spans="1:5">
      <c r="A59" s="72">
        <v>53</v>
      </c>
      <c r="B59" s="68">
        <v>45413</v>
      </c>
      <c r="C59" s="61">
        <f>(SUMIFS('MAIN DATA, Orders'!$M:$M,'MAIN DATA, Orders'!$C:$C,"Germany",'MAIN DATA, Orders'!$G:$G,"Missile (Land)",'MAIN DATA, Orders'!$Q:$Q,$A59)/1000000000)</f>
        <v>0</v>
      </c>
      <c r="D59" s="61">
        <f>(SUMIFS('MAIN DATA, Orders'!$M:$M,'MAIN DATA, Orders'!$C:$C,"Germany",'MAIN DATA, Orders'!$G:$G,"Missile (Air)",'MAIN DATA, Orders'!$Q:$Q,$A59)/1000000000)</f>
        <v>0.17799999999999999</v>
      </c>
      <c r="E59" s="61">
        <f>(SUMIFS('MAIN DATA, Orders'!$M:$M,'MAIN DATA, Orders'!$C:$C,"Germany",'MAIN DATA, Orders'!$G:$G,"Missile (Naval)",'MAIN DATA, Orders'!$Q:$Q,$A59)/1000000000)</f>
        <v>0</v>
      </c>
    </row>
    <row r="60" spans="1:5">
      <c r="A60" s="72">
        <v>54</v>
      </c>
      <c r="B60" s="68">
        <v>45444</v>
      </c>
      <c r="C60" s="61">
        <f>(SUMIFS('MAIN DATA, Orders'!$M:$M,'MAIN DATA, Orders'!$C:$C,"Germany",'MAIN DATA, Orders'!$G:$G,"Missile (Land)",'MAIN DATA, Orders'!$Q:$Q,$A60)/1000000000)</f>
        <v>0.39500000000000002</v>
      </c>
      <c r="D60" s="61">
        <f>(SUMIFS('MAIN DATA, Orders'!$M:$M,'MAIN DATA, Orders'!$C:$C,"Germany",'MAIN DATA, Orders'!$G:$G,"Missile (Air)",'MAIN DATA, Orders'!$Q:$Q,$A60)/1000000000)</f>
        <v>0.376</v>
      </c>
      <c r="E60" s="61">
        <f>(SUMIFS('MAIN DATA, Orders'!$M:$M,'MAIN DATA, Orders'!$C:$C,"Germany",'MAIN DATA, Orders'!$G:$G,"Missile (Naval)",'MAIN DATA, Orders'!$Q:$Q,$A60)/1000000000)</f>
        <v>0</v>
      </c>
    </row>
    <row r="61" spans="1:5">
      <c r="A61" s="72">
        <v>55</v>
      </c>
      <c r="B61" s="155">
        <v>45474</v>
      </c>
      <c r="C61" s="159">
        <f>(SUMIFS('MAIN DATA, Orders'!$M:$M,'MAIN DATA, Orders'!$C:$C,"Germany",'MAIN DATA, Orders'!$G:$G,"Missile (Land)",'MAIN DATA, Orders'!$Q:$Q,$A61)/1000000000)</f>
        <v>0.2</v>
      </c>
      <c r="D61" s="159">
        <f>(SUMIFS('MAIN DATA, Orders'!$M:$M,'MAIN DATA, Orders'!$C:$C,"Germany",'MAIN DATA, Orders'!$G:$G,"Missile (Air)",'MAIN DATA, Orders'!$Q:$Q,$A61)/1000000000)</f>
        <v>0</v>
      </c>
      <c r="E61" s="159">
        <f>(SUMIFS('MAIN DATA, Orders'!$M:$M,'MAIN DATA, Orders'!$C:$C,"Germany",'MAIN DATA, Orders'!$G:$G,"Missile (Naval)",'MAIN DATA, Orders'!$Q:$Q,$A61)/1000000000)</f>
        <v>0</v>
      </c>
    </row>
    <row r="62" spans="1:5">
      <c r="A62" s="199"/>
      <c r="B62" s="199"/>
      <c r="C62" s="199"/>
      <c r="D62" s="199"/>
      <c r="E62" s="199"/>
    </row>
    <row r="63" spans="1:5">
      <c r="A63" s="199"/>
      <c r="B63" s="69" t="s">
        <v>1431</v>
      </c>
      <c r="C63" s="69">
        <f>SUM(C7:C61)</f>
        <v>3.835</v>
      </c>
      <c r="D63" s="69">
        <f>SUM(D7:D61)</f>
        <v>0.66199999999999992</v>
      </c>
      <c r="E63" s="69">
        <f>SUM(E7:E61)</f>
        <v>1.6219999999999999</v>
      </c>
    </row>
  </sheetData>
  <mergeCells count="1">
    <mergeCell ref="B4:G4"/>
  </mergeCell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F4E8F9-A348-4291-B58B-CF553973B83A}">
  <sheetPr>
    <tabColor theme="9" tint="0.59999389629810485"/>
  </sheetPr>
  <dimension ref="A2:F63"/>
  <sheetViews>
    <sheetView workbookViewId="0"/>
  </sheetViews>
  <sheetFormatPr defaultColWidth="8.69921875" defaultRowHeight="15.6"/>
  <cols>
    <col min="1" max="1" width="8.69921875" style="1"/>
    <col min="2" max="2" width="13.5" style="1" customWidth="1"/>
    <col min="3" max="3" width="20.69921875" style="1" bestFit="1" customWidth="1"/>
    <col min="4" max="4" width="23.69921875" style="1" bestFit="1" customWidth="1"/>
    <col min="5" max="5" width="20.69921875" style="1" bestFit="1" customWidth="1"/>
    <col min="6" max="16384" width="8.69921875" style="1"/>
  </cols>
  <sheetData>
    <row r="2" spans="1:6" ht="25.2">
      <c r="B2" s="67" t="s">
        <v>1675</v>
      </c>
    </row>
    <row r="4" spans="1:6" ht="130.19999999999999" customHeight="1">
      <c r="B4" s="206" t="s">
        <v>1676</v>
      </c>
      <c r="C4" s="206"/>
      <c r="D4" s="206"/>
      <c r="E4" s="206"/>
      <c r="F4" s="206"/>
    </row>
    <row r="6" spans="1:6" ht="21" customHeight="1">
      <c r="B6" s="161" t="s">
        <v>1404</v>
      </c>
      <c r="C6" s="162" t="s">
        <v>165</v>
      </c>
      <c r="D6" s="162" t="s">
        <v>665</v>
      </c>
      <c r="E6" s="162" t="s">
        <v>784</v>
      </c>
    </row>
    <row r="7" spans="1:6">
      <c r="A7" s="72">
        <v>1</v>
      </c>
      <c r="B7" s="68">
        <v>43831</v>
      </c>
      <c r="C7" s="61">
        <f>(SUMIFS('MAIN DATA, Orders'!$M:$M,'MAIN DATA, Orders'!$C:$C,"Germany",'MAIN DATA, Orders'!$N:$N,"Einzelplan 14",'MAIN DATA, Orders'!$G:$G,"Air defence system",'MAIN DATA, Orders'!$Q:$Q,$A7)/1000000000)</f>
        <v>0</v>
      </c>
      <c r="D7" s="61">
        <f>(SUMIFS('MAIN DATA, Orders'!$M:$M,'MAIN DATA, Orders'!$C:$C,"Germany",'MAIN DATA, Orders'!$N:$N,"Sondervermögen",'MAIN DATA, Orders'!$G:$G,"Air defence system",'MAIN DATA, Orders'!$Q:$Q,$A7)/1000000000)</f>
        <v>0</v>
      </c>
      <c r="E7" s="61">
        <f>(SUMIFS('MAIN DATA, Orders'!$M:$M,'MAIN DATA, Orders'!$C:$C,"Germany",'MAIN DATA, Orders'!$N:$N,"Einzelplan 60",'MAIN DATA, Orders'!$G:$G,"Air defence system",'MAIN DATA, Orders'!$Q:$Q,$A7)/1000000000)</f>
        <v>0</v>
      </c>
    </row>
    <row r="8" spans="1:6">
      <c r="A8" s="72">
        <v>2</v>
      </c>
      <c r="B8" s="68">
        <v>43862</v>
      </c>
      <c r="C8" s="61">
        <f>(SUMIFS('MAIN DATA, Orders'!$M:$M,'MAIN DATA, Orders'!$C:$C,"Germany",'MAIN DATA, Orders'!$N:$N,"Einzelplan 14",'MAIN DATA, Orders'!$G:$G,"Air defence system",'MAIN DATA, Orders'!$Q:$Q,$A8)/1000000000)</f>
        <v>0</v>
      </c>
      <c r="D8" s="61">
        <f>(SUMIFS('MAIN DATA, Orders'!$M:$M,'MAIN DATA, Orders'!$C:$C,"Germany",'MAIN DATA, Orders'!$N:$N,"Sondervermögen",'MAIN DATA, Orders'!$G:$G,"Air defence system",'MAIN DATA, Orders'!$Q:$Q,$A8)/1000000000)</f>
        <v>0</v>
      </c>
      <c r="E8" s="61">
        <f>(SUMIFS('MAIN DATA, Orders'!$M:$M,'MAIN DATA, Orders'!$C:$C,"Germany",'MAIN DATA, Orders'!$N:$N,"Einzelplan 60",'MAIN DATA, Orders'!$G:$G,"Air defence system",'MAIN DATA, Orders'!$Q:$Q,$A8)/1000000000)</f>
        <v>0</v>
      </c>
    </row>
    <row r="9" spans="1:6">
      <c r="A9" s="72">
        <v>3</v>
      </c>
      <c r="B9" s="68">
        <v>43891</v>
      </c>
      <c r="C9" s="61">
        <f>(SUMIFS('MAIN DATA, Orders'!$M:$M,'MAIN DATA, Orders'!$C:$C,"Germany",'MAIN DATA, Orders'!$N:$N,"Einzelplan 14",'MAIN DATA, Orders'!$G:$G,"Air defence system",'MAIN DATA, Orders'!$Q:$Q,$A9)/1000000000)</f>
        <v>0</v>
      </c>
      <c r="D9" s="61">
        <f>(SUMIFS('MAIN DATA, Orders'!$M:$M,'MAIN DATA, Orders'!$C:$C,"Germany",'MAIN DATA, Orders'!$N:$N,"Sondervermögen",'MAIN DATA, Orders'!$G:$G,"Air defence system",'MAIN DATA, Orders'!$Q:$Q,$A9)/1000000000)</f>
        <v>0</v>
      </c>
      <c r="E9" s="61">
        <f>(SUMIFS('MAIN DATA, Orders'!$M:$M,'MAIN DATA, Orders'!$C:$C,"Germany",'MAIN DATA, Orders'!$N:$N,"Einzelplan 60",'MAIN DATA, Orders'!$G:$G,"Air defence system",'MAIN DATA, Orders'!$Q:$Q,$A9)/1000000000)</f>
        <v>0</v>
      </c>
    </row>
    <row r="10" spans="1:6">
      <c r="A10" s="72">
        <v>4</v>
      </c>
      <c r="B10" s="68">
        <v>43922</v>
      </c>
      <c r="C10" s="61">
        <f>(SUMIFS('MAIN DATA, Orders'!$M:$M,'MAIN DATA, Orders'!$C:$C,"Germany",'MAIN DATA, Orders'!$N:$N,"Einzelplan 14",'MAIN DATA, Orders'!$G:$G,"Air defence system",'MAIN DATA, Orders'!$Q:$Q,$A10)/1000000000)</f>
        <v>0</v>
      </c>
      <c r="D10" s="61">
        <f>(SUMIFS('MAIN DATA, Orders'!$M:$M,'MAIN DATA, Orders'!$C:$C,"Germany",'MAIN DATA, Orders'!$N:$N,"Sondervermögen",'MAIN DATA, Orders'!$G:$G,"Air defence system",'MAIN DATA, Orders'!$Q:$Q,$A10)/1000000000)</f>
        <v>0</v>
      </c>
      <c r="E10" s="61">
        <f>(SUMIFS('MAIN DATA, Orders'!$M:$M,'MAIN DATA, Orders'!$C:$C,"Germany",'MAIN DATA, Orders'!$N:$N,"Einzelplan 60",'MAIN DATA, Orders'!$G:$G,"Air defence system",'MAIN DATA, Orders'!$Q:$Q,$A10)/1000000000)</f>
        <v>0</v>
      </c>
    </row>
    <row r="11" spans="1:6">
      <c r="A11" s="72">
        <v>5</v>
      </c>
      <c r="B11" s="68">
        <v>43952</v>
      </c>
      <c r="C11" s="61">
        <f>(SUMIFS('MAIN DATA, Orders'!$M:$M,'MAIN DATA, Orders'!$C:$C,"Germany",'MAIN DATA, Orders'!$N:$N,"Einzelplan 14",'MAIN DATA, Orders'!$G:$G,"Air defence system",'MAIN DATA, Orders'!$Q:$Q,$A11)/1000000000)</f>
        <v>0</v>
      </c>
      <c r="D11" s="61">
        <f>(SUMIFS('MAIN DATA, Orders'!$M:$M,'MAIN DATA, Orders'!$C:$C,"Germany",'MAIN DATA, Orders'!$N:$N,"Sondervermögen",'MAIN DATA, Orders'!$G:$G,"Air defence system",'MAIN DATA, Orders'!$Q:$Q,$A11)/1000000000)</f>
        <v>0</v>
      </c>
      <c r="E11" s="61">
        <f>(SUMIFS('MAIN DATA, Orders'!$M:$M,'MAIN DATA, Orders'!$C:$C,"Germany",'MAIN DATA, Orders'!$N:$N,"Einzelplan 60",'MAIN DATA, Orders'!$G:$G,"Air defence system",'MAIN DATA, Orders'!$Q:$Q,$A11)/1000000000)</f>
        <v>0</v>
      </c>
    </row>
    <row r="12" spans="1:6">
      <c r="A12" s="72">
        <v>6</v>
      </c>
      <c r="B12" s="68">
        <v>43983</v>
      </c>
      <c r="C12" s="61">
        <f>(SUMIFS('MAIN DATA, Orders'!$M:$M,'MAIN DATA, Orders'!$C:$C,"Germany",'MAIN DATA, Orders'!$N:$N,"Einzelplan 14",'MAIN DATA, Orders'!$G:$G,"Air defence system",'MAIN DATA, Orders'!$Q:$Q,$A12)/1000000000)</f>
        <v>0</v>
      </c>
      <c r="D12" s="61">
        <f>(SUMIFS('MAIN DATA, Orders'!$M:$M,'MAIN DATA, Orders'!$C:$C,"Germany",'MAIN DATA, Orders'!$N:$N,"Sondervermögen",'MAIN DATA, Orders'!$G:$G,"Air defence system",'MAIN DATA, Orders'!$Q:$Q,$A12)/1000000000)</f>
        <v>0</v>
      </c>
      <c r="E12" s="61">
        <f>(SUMIFS('MAIN DATA, Orders'!$M:$M,'MAIN DATA, Orders'!$C:$C,"Germany",'MAIN DATA, Orders'!$N:$N,"Einzelplan 60",'MAIN DATA, Orders'!$G:$G,"Air defence system",'MAIN DATA, Orders'!$Q:$Q,$A12)/1000000000)</f>
        <v>0</v>
      </c>
    </row>
    <row r="13" spans="1:6">
      <c r="A13" s="72">
        <v>7</v>
      </c>
      <c r="B13" s="68">
        <v>44013</v>
      </c>
      <c r="C13" s="61">
        <f>(SUMIFS('MAIN DATA, Orders'!$M:$M,'MAIN DATA, Orders'!$C:$C,"Germany",'MAIN DATA, Orders'!$N:$N,"Einzelplan 14",'MAIN DATA, Orders'!$G:$G,"Air defence system",'MAIN DATA, Orders'!$Q:$Q,$A13)/1000000000)</f>
        <v>0</v>
      </c>
      <c r="D13" s="61">
        <f>(SUMIFS('MAIN DATA, Orders'!$M:$M,'MAIN DATA, Orders'!$C:$C,"Germany",'MAIN DATA, Orders'!$N:$N,"Sondervermögen",'MAIN DATA, Orders'!$G:$G,"Air defence system",'MAIN DATA, Orders'!$Q:$Q,$A13)/1000000000)</f>
        <v>0</v>
      </c>
      <c r="E13" s="61">
        <f>(SUMIFS('MAIN DATA, Orders'!$M:$M,'MAIN DATA, Orders'!$C:$C,"Germany",'MAIN DATA, Orders'!$N:$N,"Einzelplan 60",'MAIN DATA, Orders'!$G:$G,"Air defence system",'MAIN DATA, Orders'!$Q:$Q,$A13)/1000000000)</f>
        <v>0</v>
      </c>
    </row>
    <row r="14" spans="1:6">
      <c r="A14" s="72">
        <v>8</v>
      </c>
      <c r="B14" s="68">
        <v>44044</v>
      </c>
      <c r="C14" s="61">
        <f>(SUMIFS('MAIN DATA, Orders'!$M:$M,'MAIN DATA, Orders'!$C:$C,"Germany",'MAIN DATA, Orders'!$N:$N,"Einzelplan 14",'MAIN DATA, Orders'!$G:$G,"Air defence system",'MAIN DATA, Orders'!$Q:$Q,$A14)/1000000000)</f>
        <v>0</v>
      </c>
      <c r="D14" s="61">
        <f>(SUMIFS('MAIN DATA, Orders'!$M:$M,'MAIN DATA, Orders'!$C:$C,"Germany",'MAIN DATA, Orders'!$N:$N,"Sondervermögen",'MAIN DATA, Orders'!$G:$G,"Air defence system",'MAIN DATA, Orders'!$Q:$Q,$A14)/1000000000)</f>
        <v>0</v>
      </c>
      <c r="E14" s="61">
        <f>(SUMIFS('MAIN DATA, Orders'!$M:$M,'MAIN DATA, Orders'!$C:$C,"Germany",'MAIN DATA, Orders'!$N:$N,"Einzelplan 60",'MAIN DATA, Orders'!$G:$G,"Air defence system",'MAIN DATA, Orders'!$Q:$Q,$A14)/1000000000)</f>
        <v>0</v>
      </c>
    </row>
    <row r="15" spans="1:6">
      <c r="A15" s="72">
        <v>9</v>
      </c>
      <c r="B15" s="68">
        <v>44075</v>
      </c>
      <c r="C15" s="61">
        <f>(SUMIFS('MAIN DATA, Orders'!$M:$M,'MAIN DATA, Orders'!$C:$C,"Germany",'MAIN DATA, Orders'!$N:$N,"Einzelplan 14",'MAIN DATA, Orders'!$G:$G,"Air defence system",'MAIN DATA, Orders'!$Q:$Q,$A15)/1000000000)</f>
        <v>0</v>
      </c>
      <c r="D15" s="61">
        <f>(SUMIFS('MAIN DATA, Orders'!$M:$M,'MAIN DATA, Orders'!$C:$C,"Germany",'MAIN DATA, Orders'!$N:$N,"Sondervermögen",'MAIN DATA, Orders'!$G:$G,"Air defence system",'MAIN DATA, Orders'!$Q:$Q,$A15)/1000000000)</f>
        <v>0</v>
      </c>
      <c r="E15" s="61">
        <f>(SUMIFS('MAIN DATA, Orders'!$M:$M,'MAIN DATA, Orders'!$C:$C,"Germany",'MAIN DATA, Orders'!$N:$N,"Einzelplan 60",'MAIN DATA, Orders'!$G:$G,"Air defence system",'MAIN DATA, Orders'!$Q:$Q,$A15)/1000000000)</f>
        <v>0</v>
      </c>
    </row>
    <row r="16" spans="1:6">
      <c r="A16" s="72">
        <v>10</v>
      </c>
      <c r="B16" s="68">
        <v>44105</v>
      </c>
      <c r="C16" s="61">
        <f>(SUMIFS('MAIN DATA, Orders'!$M:$M,'MAIN DATA, Orders'!$C:$C,"Germany",'MAIN DATA, Orders'!$N:$N,"Einzelplan 14",'MAIN DATA, Orders'!$G:$G,"Air defence system",'MAIN DATA, Orders'!$Q:$Q,$A16)/1000000000)</f>
        <v>0</v>
      </c>
      <c r="D16" s="61">
        <f>(SUMIFS('MAIN DATA, Orders'!$M:$M,'MAIN DATA, Orders'!$C:$C,"Germany",'MAIN DATA, Orders'!$N:$N,"Sondervermögen",'MAIN DATA, Orders'!$G:$G,"Air defence system",'MAIN DATA, Orders'!$Q:$Q,$A16)/1000000000)</f>
        <v>0</v>
      </c>
      <c r="E16" s="61">
        <f>(SUMIFS('MAIN DATA, Orders'!$M:$M,'MAIN DATA, Orders'!$C:$C,"Germany",'MAIN DATA, Orders'!$N:$N,"Einzelplan 60",'MAIN DATA, Orders'!$G:$G,"Air defence system",'MAIN DATA, Orders'!$Q:$Q,$A16)/1000000000)</f>
        <v>0</v>
      </c>
    </row>
    <row r="17" spans="1:5">
      <c r="A17" s="72">
        <v>11</v>
      </c>
      <c r="B17" s="68">
        <v>44136</v>
      </c>
      <c r="C17" s="61">
        <f>(SUMIFS('MAIN DATA, Orders'!$M:$M,'MAIN DATA, Orders'!$C:$C,"Germany",'MAIN DATA, Orders'!$N:$N,"Einzelplan 14",'MAIN DATA, Orders'!$G:$G,"Air defence system",'MAIN DATA, Orders'!$Q:$Q,$A17)/1000000000)</f>
        <v>0</v>
      </c>
      <c r="D17" s="61">
        <f>(SUMIFS('MAIN DATA, Orders'!$M:$M,'MAIN DATA, Orders'!$C:$C,"Germany",'MAIN DATA, Orders'!$N:$N,"Sondervermögen",'MAIN DATA, Orders'!$G:$G,"Air defence system",'MAIN DATA, Orders'!$Q:$Q,$A17)/1000000000)</f>
        <v>0</v>
      </c>
      <c r="E17" s="61">
        <f>(SUMIFS('MAIN DATA, Orders'!$M:$M,'MAIN DATA, Orders'!$C:$C,"Germany",'MAIN DATA, Orders'!$N:$N,"Einzelplan 60",'MAIN DATA, Orders'!$G:$G,"Air defence system",'MAIN DATA, Orders'!$Q:$Q,$A17)/1000000000)</f>
        <v>0</v>
      </c>
    </row>
    <row r="18" spans="1:5">
      <c r="A18" s="72">
        <v>12</v>
      </c>
      <c r="B18" s="68">
        <v>44166</v>
      </c>
      <c r="C18" s="61">
        <f>(SUMIFS('MAIN DATA, Orders'!$M:$M,'MAIN DATA, Orders'!$C:$C,"Germany",'MAIN DATA, Orders'!$N:$N,"Einzelplan 14",'MAIN DATA, Orders'!$G:$G,"Air defence system",'MAIN DATA, Orders'!$Q:$Q,$A18)/1000000000)</f>
        <v>0</v>
      </c>
      <c r="D18" s="61">
        <f>(SUMIFS('MAIN DATA, Orders'!$M:$M,'MAIN DATA, Orders'!$C:$C,"Germany",'MAIN DATA, Orders'!$N:$N,"Sondervermögen",'MAIN DATA, Orders'!$G:$G,"Air defence system",'MAIN DATA, Orders'!$Q:$Q,$A18)/1000000000)</f>
        <v>0</v>
      </c>
      <c r="E18" s="61">
        <f>(SUMIFS('MAIN DATA, Orders'!$M:$M,'MAIN DATA, Orders'!$C:$C,"Germany",'MAIN DATA, Orders'!$N:$N,"Einzelplan 60",'MAIN DATA, Orders'!$G:$G,"Air defence system",'MAIN DATA, Orders'!$Q:$Q,$A18)/1000000000)</f>
        <v>0</v>
      </c>
    </row>
    <row r="19" spans="1:5">
      <c r="A19" s="72">
        <v>13</v>
      </c>
      <c r="B19" s="68">
        <v>44197</v>
      </c>
      <c r="C19" s="61">
        <f>(SUMIFS('MAIN DATA, Orders'!$M:$M,'MAIN DATA, Orders'!$C:$C,"Germany",'MAIN DATA, Orders'!$N:$N,"Einzelplan 14",'MAIN DATA, Orders'!$G:$G,"Air defence system",'MAIN DATA, Orders'!$Q:$Q,$A19)/1000000000)</f>
        <v>0</v>
      </c>
      <c r="D19" s="61">
        <f>(SUMIFS('MAIN DATA, Orders'!$M:$M,'MAIN DATA, Orders'!$C:$C,"Germany",'MAIN DATA, Orders'!$N:$N,"Sondervermögen",'MAIN DATA, Orders'!$G:$G,"Air defence system",'MAIN DATA, Orders'!$Q:$Q,$A19)/1000000000)</f>
        <v>0</v>
      </c>
      <c r="E19" s="61">
        <f>(SUMIFS('MAIN DATA, Orders'!$M:$M,'MAIN DATA, Orders'!$C:$C,"Germany",'MAIN DATA, Orders'!$N:$N,"Einzelplan 60",'MAIN DATA, Orders'!$G:$G,"Air defence system",'MAIN DATA, Orders'!$Q:$Q,$A19)/1000000000)</f>
        <v>0</v>
      </c>
    </row>
    <row r="20" spans="1:5">
      <c r="A20" s="72">
        <v>14</v>
      </c>
      <c r="B20" s="68">
        <v>44228</v>
      </c>
      <c r="C20" s="61">
        <f>(SUMIFS('MAIN DATA, Orders'!$M:$M,'MAIN DATA, Orders'!$C:$C,"Germany",'MAIN DATA, Orders'!$N:$N,"Einzelplan 14",'MAIN DATA, Orders'!$G:$G,"Air defence system",'MAIN DATA, Orders'!$Q:$Q,$A20)/1000000000)</f>
        <v>0</v>
      </c>
      <c r="D20" s="61">
        <f>(SUMIFS('MAIN DATA, Orders'!$M:$M,'MAIN DATA, Orders'!$C:$C,"Germany",'MAIN DATA, Orders'!$N:$N,"Sondervermögen",'MAIN DATA, Orders'!$G:$G,"Air defence system",'MAIN DATA, Orders'!$Q:$Q,$A20)/1000000000)</f>
        <v>0</v>
      </c>
      <c r="E20" s="61">
        <f>(SUMIFS('MAIN DATA, Orders'!$M:$M,'MAIN DATA, Orders'!$C:$C,"Germany",'MAIN DATA, Orders'!$N:$N,"Einzelplan 60",'MAIN DATA, Orders'!$G:$G,"Air defence system",'MAIN DATA, Orders'!$Q:$Q,$A20)/1000000000)</f>
        <v>0</v>
      </c>
    </row>
    <row r="21" spans="1:5">
      <c r="A21" s="72">
        <v>15</v>
      </c>
      <c r="B21" s="68">
        <v>44256</v>
      </c>
      <c r="C21" s="61">
        <f>(SUMIFS('MAIN DATA, Orders'!$M:$M,'MAIN DATA, Orders'!$C:$C,"Germany",'MAIN DATA, Orders'!$N:$N,"Einzelplan 14",'MAIN DATA, Orders'!$G:$G,"Air defence system",'MAIN DATA, Orders'!$Q:$Q,$A21)/1000000000)</f>
        <v>0</v>
      </c>
      <c r="D21" s="61">
        <f>(SUMIFS('MAIN DATA, Orders'!$M:$M,'MAIN DATA, Orders'!$C:$C,"Germany",'MAIN DATA, Orders'!$N:$N,"Sondervermögen",'MAIN DATA, Orders'!$G:$G,"Air defence system",'MAIN DATA, Orders'!$Q:$Q,$A21)/1000000000)</f>
        <v>0</v>
      </c>
      <c r="E21" s="61">
        <f>(SUMIFS('MAIN DATA, Orders'!$M:$M,'MAIN DATA, Orders'!$C:$C,"Germany",'MAIN DATA, Orders'!$N:$N,"Einzelplan 60",'MAIN DATA, Orders'!$G:$G,"Air defence system",'MAIN DATA, Orders'!$Q:$Q,$A21)/1000000000)</f>
        <v>0</v>
      </c>
    </row>
    <row r="22" spans="1:5">
      <c r="A22" s="72">
        <v>16</v>
      </c>
      <c r="B22" s="68">
        <v>44287</v>
      </c>
      <c r="C22" s="61">
        <f>(SUMIFS('MAIN DATA, Orders'!$M:$M,'MAIN DATA, Orders'!$C:$C,"Germany",'MAIN DATA, Orders'!$N:$N,"Einzelplan 14",'MAIN DATA, Orders'!$G:$G,"Air defence system",'MAIN DATA, Orders'!$Q:$Q,$A22)/1000000000)</f>
        <v>0</v>
      </c>
      <c r="D22" s="61">
        <f>(SUMIFS('MAIN DATA, Orders'!$M:$M,'MAIN DATA, Orders'!$C:$C,"Germany",'MAIN DATA, Orders'!$N:$N,"Sondervermögen",'MAIN DATA, Orders'!$G:$G,"Air defence system",'MAIN DATA, Orders'!$Q:$Q,$A22)/1000000000)</f>
        <v>0</v>
      </c>
      <c r="E22" s="61">
        <f>(SUMIFS('MAIN DATA, Orders'!$M:$M,'MAIN DATA, Orders'!$C:$C,"Germany",'MAIN DATA, Orders'!$N:$N,"Einzelplan 60",'MAIN DATA, Orders'!$G:$G,"Air defence system",'MAIN DATA, Orders'!$Q:$Q,$A22)/1000000000)</f>
        <v>0</v>
      </c>
    </row>
    <row r="23" spans="1:5">
      <c r="A23" s="72">
        <v>17</v>
      </c>
      <c r="B23" s="68">
        <v>44317</v>
      </c>
      <c r="C23" s="61">
        <f>(SUMIFS('MAIN DATA, Orders'!$M:$M,'MAIN DATA, Orders'!$C:$C,"Germany",'MAIN DATA, Orders'!$N:$N,"Einzelplan 14",'MAIN DATA, Orders'!$G:$G,"Air defence system",'MAIN DATA, Orders'!$Q:$Q,$A23)/1000000000)</f>
        <v>0</v>
      </c>
      <c r="D23" s="61">
        <f>(SUMIFS('MAIN DATA, Orders'!$M:$M,'MAIN DATA, Orders'!$C:$C,"Germany",'MAIN DATA, Orders'!$N:$N,"Sondervermögen",'MAIN DATA, Orders'!$G:$G,"Air defence system",'MAIN DATA, Orders'!$Q:$Q,$A23)/1000000000)</f>
        <v>0</v>
      </c>
      <c r="E23" s="61">
        <f>(SUMIFS('MAIN DATA, Orders'!$M:$M,'MAIN DATA, Orders'!$C:$C,"Germany",'MAIN DATA, Orders'!$N:$N,"Einzelplan 60",'MAIN DATA, Orders'!$G:$G,"Air defence system",'MAIN DATA, Orders'!$Q:$Q,$A23)/1000000000)</f>
        <v>0</v>
      </c>
    </row>
    <row r="24" spans="1:5">
      <c r="A24" s="72">
        <v>18</v>
      </c>
      <c r="B24" s="68">
        <v>44348</v>
      </c>
      <c r="C24" s="61">
        <f>(SUMIFS('MAIN DATA, Orders'!$M:$M,'MAIN DATA, Orders'!$C:$C,"Germany",'MAIN DATA, Orders'!$N:$N,"Einzelplan 14",'MAIN DATA, Orders'!$G:$G,"Air defence system",'MAIN DATA, Orders'!$Q:$Q,$A24)/1000000000)</f>
        <v>0</v>
      </c>
      <c r="D24" s="61">
        <f>(SUMIFS('MAIN DATA, Orders'!$M:$M,'MAIN DATA, Orders'!$C:$C,"Germany",'MAIN DATA, Orders'!$N:$N,"Sondervermögen",'MAIN DATA, Orders'!$G:$G,"Air defence system",'MAIN DATA, Orders'!$Q:$Q,$A24)/1000000000)</f>
        <v>0</v>
      </c>
      <c r="E24" s="61">
        <f>(SUMIFS('MAIN DATA, Orders'!$M:$M,'MAIN DATA, Orders'!$C:$C,"Germany",'MAIN DATA, Orders'!$N:$N,"Einzelplan 60",'MAIN DATA, Orders'!$G:$G,"Air defence system",'MAIN DATA, Orders'!$Q:$Q,$A24)/1000000000)</f>
        <v>0</v>
      </c>
    </row>
    <row r="25" spans="1:5">
      <c r="A25" s="72">
        <v>19</v>
      </c>
      <c r="B25" s="68">
        <v>44378</v>
      </c>
      <c r="C25" s="61">
        <f>(SUMIFS('MAIN DATA, Orders'!$M:$M,'MAIN DATA, Orders'!$C:$C,"Germany",'MAIN DATA, Orders'!$N:$N,"Einzelplan 14",'MAIN DATA, Orders'!$G:$G,"Air defence system",'MAIN DATA, Orders'!$Q:$Q,$A25)/1000000000)</f>
        <v>0</v>
      </c>
      <c r="D25" s="61">
        <f>(SUMIFS('MAIN DATA, Orders'!$M:$M,'MAIN DATA, Orders'!$C:$C,"Germany",'MAIN DATA, Orders'!$N:$N,"Sondervermögen",'MAIN DATA, Orders'!$G:$G,"Air defence system",'MAIN DATA, Orders'!$Q:$Q,$A25)/1000000000)</f>
        <v>0</v>
      </c>
      <c r="E25" s="61">
        <f>(SUMIFS('MAIN DATA, Orders'!$M:$M,'MAIN DATA, Orders'!$C:$C,"Germany",'MAIN DATA, Orders'!$N:$N,"Einzelplan 60",'MAIN DATA, Orders'!$G:$G,"Air defence system",'MAIN DATA, Orders'!$Q:$Q,$A25)/1000000000)</f>
        <v>0</v>
      </c>
    </row>
    <row r="26" spans="1:5">
      <c r="A26" s="72">
        <v>20</v>
      </c>
      <c r="B26" s="68">
        <v>44409</v>
      </c>
      <c r="C26" s="61">
        <f>(SUMIFS('MAIN DATA, Orders'!$M:$M,'MAIN DATA, Orders'!$C:$C,"Germany",'MAIN DATA, Orders'!$N:$N,"Einzelplan 14",'MAIN DATA, Orders'!$G:$G,"Air defence system",'MAIN DATA, Orders'!$Q:$Q,$A26)/1000000000)</f>
        <v>0</v>
      </c>
      <c r="D26" s="61">
        <f>(SUMIFS('MAIN DATA, Orders'!$M:$M,'MAIN DATA, Orders'!$C:$C,"Germany",'MAIN DATA, Orders'!$N:$N,"Sondervermögen",'MAIN DATA, Orders'!$G:$G,"Air defence system",'MAIN DATA, Orders'!$Q:$Q,$A26)/1000000000)</f>
        <v>0</v>
      </c>
      <c r="E26" s="61">
        <f>(SUMIFS('MAIN DATA, Orders'!$M:$M,'MAIN DATA, Orders'!$C:$C,"Germany",'MAIN DATA, Orders'!$N:$N,"Einzelplan 60",'MAIN DATA, Orders'!$G:$G,"Air defence system",'MAIN DATA, Orders'!$Q:$Q,$A26)/1000000000)</f>
        <v>0</v>
      </c>
    </row>
    <row r="27" spans="1:5">
      <c r="A27" s="72">
        <v>21</v>
      </c>
      <c r="B27" s="68">
        <v>44440</v>
      </c>
      <c r="C27" s="61">
        <f>(SUMIFS('MAIN DATA, Orders'!$M:$M,'MAIN DATA, Orders'!$C:$C,"Germany",'MAIN DATA, Orders'!$N:$N,"Einzelplan 14",'MAIN DATA, Orders'!$G:$G,"Air defence system",'MAIN DATA, Orders'!$Q:$Q,$A27)/1000000000)</f>
        <v>0</v>
      </c>
      <c r="D27" s="61">
        <f>(SUMIFS('MAIN DATA, Orders'!$M:$M,'MAIN DATA, Orders'!$C:$C,"Germany",'MAIN DATA, Orders'!$N:$N,"Sondervermögen",'MAIN DATA, Orders'!$G:$G,"Air defence system",'MAIN DATA, Orders'!$Q:$Q,$A27)/1000000000)</f>
        <v>0</v>
      </c>
      <c r="E27" s="61">
        <f>(SUMIFS('MAIN DATA, Orders'!$M:$M,'MAIN DATA, Orders'!$C:$C,"Germany",'MAIN DATA, Orders'!$N:$N,"Einzelplan 60",'MAIN DATA, Orders'!$G:$G,"Air defence system",'MAIN DATA, Orders'!$Q:$Q,$A27)/1000000000)</f>
        <v>0</v>
      </c>
    </row>
    <row r="28" spans="1:5">
      <c r="A28" s="72">
        <v>22</v>
      </c>
      <c r="B28" s="68">
        <v>44470</v>
      </c>
      <c r="C28" s="61">
        <f>(SUMIFS('MAIN DATA, Orders'!$M:$M,'MAIN DATA, Orders'!$C:$C,"Germany",'MAIN DATA, Orders'!$N:$N,"Einzelplan 14",'MAIN DATA, Orders'!$G:$G,"Air defence system",'MAIN DATA, Orders'!$Q:$Q,$A28)/1000000000)</f>
        <v>0</v>
      </c>
      <c r="D28" s="61">
        <f>(SUMIFS('MAIN DATA, Orders'!$M:$M,'MAIN DATA, Orders'!$C:$C,"Germany",'MAIN DATA, Orders'!$N:$N,"Sondervermögen",'MAIN DATA, Orders'!$G:$G,"Air defence system",'MAIN DATA, Orders'!$Q:$Q,$A28)/1000000000)</f>
        <v>0</v>
      </c>
      <c r="E28" s="61">
        <f>(SUMIFS('MAIN DATA, Orders'!$M:$M,'MAIN DATA, Orders'!$C:$C,"Germany",'MAIN DATA, Orders'!$N:$N,"Einzelplan 60",'MAIN DATA, Orders'!$G:$G,"Air defence system",'MAIN DATA, Orders'!$Q:$Q,$A28)/1000000000)</f>
        <v>0</v>
      </c>
    </row>
    <row r="29" spans="1:5">
      <c r="A29" s="72">
        <v>23</v>
      </c>
      <c r="B29" s="68">
        <v>44501</v>
      </c>
      <c r="C29" s="61">
        <f>(SUMIFS('MAIN DATA, Orders'!$M:$M,'MAIN DATA, Orders'!$C:$C,"Germany",'MAIN DATA, Orders'!$N:$N,"Einzelplan 14",'MAIN DATA, Orders'!$G:$G,"Air defence system",'MAIN DATA, Orders'!$Q:$Q,$A29)/1000000000)</f>
        <v>0</v>
      </c>
      <c r="D29" s="61">
        <f>(SUMIFS('MAIN DATA, Orders'!$M:$M,'MAIN DATA, Orders'!$C:$C,"Germany",'MAIN DATA, Orders'!$N:$N,"Sondervermögen",'MAIN DATA, Orders'!$G:$G,"Air defence system",'MAIN DATA, Orders'!$Q:$Q,$A29)/1000000000)</f>
        <v>0</v>
      </c>
      <c r="E29" s="61">
        <f>(SUMIFS('MAIN DATA, Orders'!$M:$M,'MAIN DATA, Orders'!$C:$C,"Germany",'MAIN DATA, Orders'!$N:$N,"Einzelplan 60",'MAIN DATA, Orders'!$G:$G,"Air defence system",'MAIN DATA, Orders'!$Q:$Q,$A29)/1000000000)</f>
        <v>0</v>
      </c>
    </row>
    <row r="30" spans="1:5">
      <c r="A30" s="72">
        <v>24</v>
      </c>
      <c r="B30" s="68">
        <v>44531</v>
      </c>
      <c r="C30" s="61">
        <f>(SUMIFS('MAIN DATA, Orders'!$M:$M,'MAIN DATA, Orders'!$C:$C,"Germany",'MAIN DATA, Orders'!$N:$N,"Einzelplan 14",'MAIN DATA, Orders'!$G:$G,"Air defence system",'MAIN DATA, Orders'!$Q:$Q,$A30)/1000000000)</f>
        <v>0</v>
      </c>
      <c r="D30" s="61">
        <f>(SUMIFS('MAIN DATA, Orders'!$M:$M,'MAIN DATA, Orders'!$C:$C,"Germany",'MAIN DATA, Orders'!$N:$N,"Sondervermögen",'MAIN DATA, Orders'!$G:$G,"Air defence system",'MAIN DATA, Orders'!$Q:$Q,$A30)/1000000000)</f>
        <v>0</v>
      </c>
      <c r="E30" s="61">
        <f>(SUMIFS('MAIN DATA, Orders'!$M:$M,'MAIN DATA, Orders'!$C:$C,"Germany",'MAIN DATA, Orders'!$N:$N,"Einzelplan 60",'MAIN DATA, Orders'!$G:$G,"Air defence system",'MAIN DATA, Orders'!$Q:$Q,$A30)/1000000000)</f>
        <v>0</v>
      </c>
    </row>
    <row r="31" spans="1:5">
      <c r="A31" s="72">
        <v>25</v>
      </c>
      <c r="B31" s="68">
        <v>44562</v>
      </c>
      <c r="C31" s="61">
        <f>(SUMIFS('MAIN DATA, Orders'!$M:$M,'MAIN DATA, Orders'!$C:$C,"Germany",'MAIN DATA, Orders'!$N:$N,"Einzelplan 14",'MAIN DATA, Orders'!$G:$G,"Air defence system",'MAIN DATA, Orders'!$Q:$Q,$A31)/1000000000)</f>
        <v>0</v>
      </c>
      <c r="D31" s="61">
        <f>(SUMIFS('MAIN DATA, Orders'!$M:$M,'MAIN DATA, Orders'!$C:$C,"Germany",'MAIN DATA, Orders'!$N:$N,"Sondervermögen",'MAIN DATA, Orders'!$G:$G,"Air defence system",'MAIN DATA, Orders'!$Q:$Q,$A31)/1000000000)</f>
        <v>0</v>
      </c>
      <c r="E31" s="61">
        <f>(SUMIFS('MAIN DATA, Orders'!$M:$M,'MAIN DATA, Orders'!$C:$C,"Germany",'MAIN DATA, Orders'!$N:$N,"Einzelplan 60",'MAIN DATA, Orders'!$G:$G,"Air defence system",'MAIN DATA, Orders'!$Q:$Q,$A31)/1000000000)</f>
        <v>0</v>
      </c>
    </row>
    <row r="32" spans="1:5">
      <c r="A32" s="72">
        <v>26</v>
      </c>
      <c r="B32" s="68">
        <v>44593</v>
      </c>
      <c r="C32" s="61">
        <f>(SUMIFS('MAIN DATA, Orders'!$M:$M,'MAIN DATA, Orders'!$C:$C,"Germany",'MAIN DATA, Orders'!$N:$N,"Einzelplan 14",'MAIN DATA, Orders'!$G:$G,"Air defence system",'MAIN DATA, Orders'!$Q:$Q,$A32)/1000000000)</f>
        <v>0</v>
      </c>
      <c r="D32" s="61">
        <f>(SUMIFS('MAIN DATA, Orders'!$M:$M,'MAIN DATA, Orders'!$C:$C,"Germany",'MAIN DATA, Orders'!$N:$N,"Sondervermögen",'MAIN DATA, Orders'!$G:$G,"Air defence system",'MAIN DATA, Orders'!$Q:$Q,$A32)/1000000000)</f>
        <v>0</v>
      </c>
      <c r="E32" s="61">
        <f>(SUMIFS('MAIN DATA, Orders'!$M:$M,'MAIN DATA, Orders'!$C:$C,"Germany",'MAIN DATA, Orders'!$N:$N,"Einzelplan 60",'MAIN DATA, Orders'!$G:$G,"Air defence system",'MAIN DATA, Orders'!$Q:$Q,$A32)/1000000000)</f>
        <v>0</v>
      </c>
    </row>
    <row r="33" spans="1:5">
      <c r="A33" s="72">
        <v>27</v>
      </c>
      <c r="B33" s="68">
        <v>44621</v>
      </c>
      <c r="C33" s="61">
        <f>(SUMIFS('MAIN DATA, Orders'!$M:$M,'MAIN DATA, Orders'!$C:$C,"Germany",'MAIN DATA, Orders'!$N:$N,"Einzelplan 14",'MAIN DATA, Orders'!$G:$G,"Air defence system",'MAIN DATA, Orders'!$Q:$Q,$A33)/1000000000)</f>
        <v>0</v>
      </c>
      <c r="D33" s="61">
        <f>(SUMIFS('MAIN DATA, Orders'!$M:$M,'MAIN DATA, Orders'!$C:$C,"Germany",'MAIN DATA, Orders'!$N:$N,"Sondervermögen",'MAIN DATA, Orders'!$G:$G,"Air defence system",'MAIN DATA, Orders'!$Q:$Q,$A33)/1000000000)</f>
        <v>0</v>
      </c>
      <c r="E33" s="61">
        <f>(SUMIFS('MAIN DATA, Orders'!$M:$M,'MAIN DATA, Orders'!$C:$C,"Germany",'MAIN DATA, Orders'!$N:$N,"Einzelplan 60",'MAIN DATA, Orders'!$G:$G,"Air defence system",'MAIN DATA, Orders'!$Q:$Q,$A33)/1000000000)</f>
        <v>0</v>
      </c>
    </row>
    <row r="34" spans="1:5">
      <c r="A34" s="72">
        <v>28</v>
      </c>
      <c r="B34" s="68">
        <v>44652</v>
      </c>
      <c r="C34" s="61">
        <f>(SUMIFS('MAIN DATA, Orders'!$M:$M,'MAIN DATA, Orders'!$C:$C,"Germany",'MAIN DATA, Orders'!$N:$N,"Einzelplan 14",'MAIN DATA, Orders'!$G:$G,"Air defence system",'MAIN DATA, Orders'!$Q:$Q,$A34)/1000000000)</f>
        <v>0</v>
      </c>
      <c r="D34" s="61">
        <f>(SUMIFS('MAIN DATA, Orders'!$M:$M,'MAIN DATA, Orders'!$C:$C,"Germany",'MAIN DATA, Orders'!$N:$N,"Sondervermögen",'MAIN DATA, Orders'!$G:$G,"Air defence system",'MAIN DATA, Orders'!$Q:$Q,$A34)/1000000000)</f>
        <v>0</v>
      </c>
      <c r="E34" s="61">
        <f>(SUMIFS('MAIN DATA, Orders'!$M:$M,'MAIN DATA, Orders'!$C:$C,"Germany",'MAIN DATA, Orders'!$N:$N,"Einzelplan 60",'MAIN DATA, Orders'!$G:$G,"Air defence system",'MAIN DATA, Orders'!$Q:$Q,$A34)/1000000000)</f>
        <v>0</v>
      </c>
    </row>
    <row r="35" spans="1:5">
      <c r="A35" s="72">
        <v>29</v>
      </c>
      <c r="B35" s="68">
        <v>44682</v>
      </c>
      <c r="C35" s="61">
        <f>(SUMIFS('MAIN DATA, Orders'!$M:$M,'MAIN DATA, Orders'!$C:$C,"Germany",'MAIN DATA, Orders'!$N:$N,"Einzelplan 14",'MAIN DATA, Orders'!$G:$G,"Air defence system",'MAIN DATA, Orders'!$Q:$Q,$A35)/1000000000)</f>
        <v>0</v>
      </c>
      <c r="D35" s="61">
        <f>(SUMIFS('MAIN DATA, Orders'!$M:$M,'MAIN DATA, Orders'!$C:$C,"Germany",'MAIN DATA, Orders'!$N:$N,"Sondervermögen",'MAIN DATA, Orders'!$G:$G,"Air defence system",'MAIN DATA, Orders'!$Q:$Q,$A35)/1000000000)</f>
        <v>0</v>
      </c>
      <c r="E35" s="61">
        <f>(SUMIFS('MAIN DATA, Orders'!$M:$M,'MAIN DATA, Orders'!$C:$C,"Germany",'MAIN DATA, Orders'!$N:$N,"Einzelplan 60",'MAIN DATA, Orders'!$G:$G,"Air defence system",'MAIN DATA, Orders'!$Q:$Q,$A35)/1000000000)</f>
        <v>0</v>
      </c>
    </row>
    <row r="36" spans="1:5">
      <c r="A36" s="72">
        <v>30</v>
      </c>
      <c r="B36" s="68">
        <v>44713</v>
      </c>
      <c r="C36" s="61">
        <f>(SUMIFS('MAIN DATA, Orders'!$M:$M,'MAIN DATA, Orders'!$C:$C,"Germany",'MAIN DATA, Orders'!$N:$N,"Einzelplan 14",'MAIN DATA, Orders'!$G:$G,"Air defence system",'MAIN DATA, Orders'!$Q:$Q,$A36)/1000000000)</f>
        <v>0</v>
      </c>
      <c r="D36" s="61">
        <f>(SUMIFS('MAIN DATA, Orders'!$M:$M,'MAIN DATA, Orders'!$C:$C,"Germany",'MAIN DATA, Orders'!$N:$N,"Sondervermögen",'MAIN DATA, Orders'!$G:$G,"Air defence system",'MAIN DATA, Orders'!$Q:$Q,$A36)/1000000000)</f>
        <v>0</v>
      </c>
      <c r="E36" s="61">
        <f>(SUMIFS('MAIN DATA, Orders'!$M:$M,'MAIN DATA, Orders'!$C:$C,"Germany",'MAIN DATA, Orders'!$N:$N,"Einzelplan 60",'MAIN DATA, Orders'!$G:$G,"Air defence system",'MAIN DATA, Orders'!$Q:$Q,$A36)/1000000000)</f>
        <v>0</v>
      </c>
    </row>
    <row r="37" spans="1:5">
      <c r="A37" s="72">
        <v>31</v>
      </c>
      <c r="B37" s="68">
        <v>44743</v>
      </c>
      <c r="C37" s="61">
        <f>(SUMIFS('MAIN DATA, Orders'!$M:$M,'MAIN DATA, Orders'!$C:$C,"Germany",'MAIN DATA, Orders'!$N:$N,"Einzelplan 14",'MAIN DATA, Orders'!$G:$G,"Air defence system",'MAIN DATA, Orders'!$Q:$Q,$A37)/1000000000)</f>
        <v>0</v>
      </c>
      <c r="D37" s="61">
        <f>(SUMIFS('MAIN DATA, Orders'!$M:$M,'MAIN DATA, Orders'!$C:$C,"Germany",'MAIN DATA, Orders'!$N:$N,"Sondervermögen",'MAIN DATA, Orders'!$G:$G,"Air defence system",'MAIN DATA, Orders'!$Q:$Q,$A37)/1000000000)</f>
        <v>0</v>
      </c>
      <c r="E37" s="61">
        <f>(SUMIFS('MAIN DATA, Orders'!$M:$M,'MAIN DATA, Orders'!$C:$C,"Germany",'MAIN DATA, Orders'!$N:$N,"Einzelplan 60",'MAIN DATA, Orders'!$G:$G,"Air defence system",'MAIN DATA, Orders'!$Q:$Q,$A37)/1000000000)</f>
        <v>0</v>
      </c>
    </row>
    <row r="38" spans="1:5">
      <c r="A38" s="72">
        <v>32</v>
      </c>
      <c r="B38" s="68">
        <v>44774</v>
      </c>
      <c r="C38" s="61">
        <f>(SUMIFS('MAIN DATA, Orders'!$M:$M,'MAIN DATA, Orders'!$C:$C,"Germany",'MAIN DATA, Orders'!$N:$N,"Einzelplan 14",'MAIN DATA, Orders'!$G:$G,"Air defence system",'MAIN DATA, Orders'!$Q:$Q,$A38)/1000000000)</f>
        <v>0</v>
      </c>
      <c r="D38" s="61">
        <f>(SUMIFS('MAIN DATA, Orders'!$M:$M,'MAIN DATA, Orders'!$C:$C,"Germany",'MAIN DATA, Orders'!$N:$N,"Sondervermögen",'MAIN DATA, Orders'!$G:$G,"Air defence system",'MAIN DATA, Orders'!$Q:$Q,$A38)/1000000000)</f>
        <v>0</v>
      </c>
      <c r="E38" s="61">
        <f>(SUMIFS('MAIN DATA, Orders'!$M:$M,'MAIN DATA, Orders'!$C:$C,"Germany",'MAIN DATA, Orders'!$N:$N,"Einzelplan 60",'MAIN DATA, Orders'!$G:$G,"Air defence system",'MAIN DATA, Orders'!$Q:$Q,$A38)/1000000000)</f>
        <v>0</v>
      </c>
    </row>
    <row r="39" spans="1:5">
      <c r="A39" s="72">
        <v>33</v>
      </c>
      <c r="B39" s="68">
        <v>44805</v>
      </c>
      <c r="C39" s="61">
        <f>(SUMIFS('MAIN DATA, Orders'!$M:$M,'MAIN DATA, Orders'!$C:$C,"Germany",'MAIN DATA, Orders'!$N:$N,"Einzelplan 14",'MAIN DATA, Orders'!$G:$G,"Air defence system",'MAIN DATA, Orders'!$Q:$Q,$A39)/1000000000)</f>
        <v>0</v>
      </c>
      <c r="D39" s="61">
        <f>(SUMIFS('MAIN DATA, Orders'!$M:$M,'MAIN DATA, Orders'!$C:$C,"Germany",'MAIN DATA, Orders'!$N:$N,"Sondervermögen",'MAIN DATA, Orders'!$G:$G,"Air defence system",'MAIN DATA, Orders'!$Q:$Q,$A39)/1000000000)</f>
        <v>0</v>
      </c>
      <c r="E39" s="61">
        <f>(SUMIFS('MAIN DATA, Orders'!$M:$M,'MAIN DATA, Orders'!$C:$C,"Germany",'MAIN DATA, Orders'!$N:$N,"Einzelplan 60",'MAIN DATA, Orders'!$G:$G,"Air defence system",'MAIN DATA, Orders'!$Q:$Q,$A39)/1000000000)</f>
        <v>0</v>
      </c>
    </row>
    <row r="40" spans="1:5">
      <c r="A40" s="72">
        <v>34</v>
      </c>
      <c r="B40" s="68">
        <v>44835</v>
      </c>
      <c r="C40" s="61">
        <f>(SUMIFS('MAIN DATA, Orders'!$M:$M,'MAIN DATA, Orders'!$C:$C,"Germany",'MAIN DATA, Orders'!$N:$N,"Einzelplan 14",'MAIN DATA, Orders'!$G:$G,"Air defence system",'MAIN DATA, Orders'!$Q:$Q,$A40)/1000000000)</f>
        <v>0</v>
      </c>
      <c r="D40" s="61">
        <f>(SUMIFS('MAIN DATA, Orders'!$M:$M,'MAIN DATA, Orders'!$C:$C,"Germany",'MAIN DATA, Orders'!$N:$N,"Sondervermögen",'MAIN DATA, Orders'!$G:$G,"Air defence system",'MAIN DATA, Orders'!$Q:$Q,$A40)/1000000000)</f>
        <v>0</v>
      </c>
      <c r="E40" s="61">
        <f>(SUMIFS('MAIN DATA, Orders'!$M:$M,'MAIN DATA, Orders'!$C:$C,"Germany",'MAIN DATA, Orders'!$N:$N,"Einzelplan 60",'MAIN DATA, Orders'!$G:$G,"Air defence system",'MAIN DATA, Orders'!$Q:$Q,$A40)/1000000000)</f>
        <v>0</v>
      </c>
    </row>
    <row r="41" spans="1:5">
      <c r="A41" s="72">
        <v>35</v>
      </c>
      <c r="B41" s="68">
        <v>44866</v>
      </c>
      <c r="C41" s="61">
        <f>(SUMIFS('MAIN DATA, Orders'!$M:$M,'MAIN DATA, Orders'!$C:$C,"Germany",'MAIN DATA, Orders'!$N:$N,"Einzelplan 14",'MAIN DATA, Orders'!$G:$G,"Air defence system",'MAIN DATA, Orders'!$Q:$Q,$A41)/1000000000)</f>
        <v>0</v>
      </c>
      <c r="D41" s="61">
        <f>(SUMIFS('MAIN DATA, Orders'!$M:$M,'MAIN DATA, Orders'!$C:$C,"Germany",'MAIN DATA, Orders'!$N:$N,"Sondervermögen",'MAIN DATA, Orders'!$G:$G,"Air defence system",'MAIN DATA, Orders'!$Q:$Q,$A41)/1000000000)</f>
        <v>0</v>
      </c>
      <c r="E41" s="61">
        <f>(SUMIFS('MAIN DATA, Orders'!$M:$M,'MAIN DATA, Orders'!$C:$C,"Germany",'MAIN DATA, Orders'!$N:$N,"Einzelplan 60",'MAIN DATA, Orders'!$G:$G,"Air defence system",'MAIN DATA, Orders'!$Q:$Q,$A41)/1000000000)</f>
        <v>0</v>
      </c>
    </row>
    <row r="42" spans="1:5">
      <c r="A42" s="72">
        <v>36</v>
      </c>
      <c r="B42" s="68">
        <v>44896</v>
      </c>
      <c r="C42" s="61">
        <f>(SUMIFS('MAIN DATA, Orders'!$M:$M,'MAIN DATA, Orders'!$C:$C,"Germany",'MAIN DATA, Orders'!$N:$N,"Einzelplan 14",'MAIN DATA, Orders'!$G:$G,"Air defence system",'MAIN DATA, Orders'!$Q:$Q,$A42)/1000000000)</f>
        <v>0</v>
      </c>
      <c r="D42" s="61">
        <f>(SUMIFS('MAIN DATA, Orders'!$M:$M,'MAIN DATA, Orders'!$C:$C,"Germany",'MAIN DATA, Orders'!$N:$N,"Sondervermögen",'MAIN DATA, Orders'!$G:$G,"Air defence system",'MAIN DATA, Orders'!$Q:$Q,$A42)/1000000000)</f>
        <v>0</v>
      </c>
      <c r="E42" s="61">
        <f>(SUMIFS('MAIN DATA, Orders'!$M:$M,'MAIN DATA, Orders'!$C:$C,"Germany",'MAIN DATA, Orders'!$N:$N,"Einzelplan 60",'MAIN DATA, Orders'!$G:$G,"Air defence system",'MAIN DATA, Orders'!$Q:$Q,$A42)/1000000000)</f>
        <v>0</v>
      </c>
    </row>
    <row r="43" spans="1:5">
      <c r="A43" s="72">
        <v>37</v>
      </c>
      <c r="B43" s="68">
        <v>44927</v>
      </c>
      <c r="C43" s="61">
        <f>(SUMIFS('MAIN DATA, Orders'!$M:$M,'MAIN DATA, Orders'!$C:$C,"Germany",'MAIN DATA, Orders'!$N:$N,"Einzelplan 14",'MAIN DATA, Orders'!$G:$G,"Air defence system",'MAIN DATA, Orders'!$Q:$Q,$A43)/1000000000)</f>
        <v>0</v>
      </c>
      <c r="D43" s="61">
        <f>(SUMIFS('MAIN DATA, Orders'!$M:$M,'MAIN DATA, Orders'!$C:$C,"Germany",'MAIN DATA, Orders'!$N:$N,"Sondervermögen",'MAIN DATA, Orders'!$G:$G,"Air defence system",'MAIN DATA, Orders'!$Q:$Q,$A43)/1000000000)</f>
        <v>0</v>
      </c>
      <c r="E43" s="61">
        <f>(SUMIFS('MAIN DATA, Orders'!$M:$M,'MAIN DATA, Orders'!$C:$C,"Germany",'MAIN DATA, Orders'!$N:$N,"Einzelplan 60",'MAIN DATA, Orders'!$G:$G,"Air defence system",'MAIN DATA, Orders'!$Q:$Q,$A43)/1000000000)</f>
        <v>0</v>
      </c>
    </row>
    <row r="44" spans="1:5">
      <c r="A44" s="72">
        <v>38</v>
      </c>
      <c r="B44" s="68">
        <v>44958</v>
      </c>
      <c r="C44" s="61">
        <f>(SUMIFS('MAIN DATA, Orders'!$M:$M,'MAIN DATA, Orders'!$C:$C,"Germany",'MAIN DATA, Orders'!$N:$N,"Einzelplan 14",'MAIN DATA, Orders'!$G:$G,"Air defence system",'MAIN DATA, Orders'!$Q:$Q,$A44)/1000000000)</f>
        <v>0</v>
      </c>
      <c r="D44" s="61">
        <f>(SUMIFS('MAIN DATA, Orders'!$M:$M,'MAIN DATA, Orders'!$C:$C,"Germany",'MAIN DATA, Orders'!$N:$N,"Sondervermögen",'MAIN DATA, Orders'!$G:$G,"Air defence system",'MAIN DATA, Orders'!$Q:$Q,$A44)/1000000000)</f>
        <v>0</v>
      </c>
      <c r="E44" s="61">
        <f>(SUMIFS('MAIN DATA, Orders'!$M:$M,'MAIN DATA, Orders'!$C:$C,"Germany",'MAIN DATA, Orders'!$N:$N,"Einzelplan 60",'MAIN DATA, Orders'!$G:$G,"Air defence system",'MAIN DATA, Orders'!$Q:$Q,$A44)/1000000000)</f>
        <v>0</v>
      </c>
    </row>
    <row r="45" spans="1:5">
      <c r="A45" s="72">
        <v>39</v>
      </c>
      <c r="B45" s="68">
        <v>44986</v>
      </c>
      <c r="C45" s="61">
        <f>(SUMIFS('MAIN DATA, Orders'!$M:$M,'MAIN DATA, Orders'!$C:$C,"Germany",'MAIN DATA, Orders'!$N:$N,"Einzelplan 14",'MAIN DATA, Orders'!$G:$G,"Air defence system",'MAIN DATA, Orders'!$Q:$Q,$A45)/1000000000)</f>
        <v>0</v>
      </c>
      <c r="D45" s="61">
        <f>(SUMIFS('MAIN DATA, Orders'!$M:$M,'MAIN DATA, Orders'!$C:$C,"Germany",'MAIN DATA, Orders'!$N:$N,"Sondervermögen",'MAIN DATA, Orders'!$G:$G,"Air defence system",'MAIN DATA, Orders'!$Q:$Q,$A45)/1000000000)</f>
        <v>0</v>
      </c>
      <c r="E45" s="61">
        <f>(SUMIFS('MAIN DATA, Orders'!$M:$M,'MAIN DATA, Orders'!$C:$C,"Germany",'MAIN DATA, Orders'!$N:$N,"Einzelplan 60",'MAIN DATA, Orders'!$G:$G,"Air defence system",'MAIN DATA, Orders'!$Q:$Q,$A45)/1000000000)</f>
        <v>0</v>
      </c>
    </row>
    <row r="46" spans="1:5">
      <c r="A46" s="72">
        <v>40</v>
      </c>
      <c r="B46" s="68">
        <v>45017</v>
      </c>
      <c r="C46" s="61">
        <f>(SUMIFS('MAIN DATA, Orders'!$M:$M,'MAIN DATA, Orders'!$C:$C,"Germany",'MAIN DATA, Orders'!$N:$N,"Einzelplan 14",'MAIN DATA, Orders'!$G:$G,"Air defence system",'MAIN DATA, Orders'!$Q:$Q,$A46)/1000000000)</f>
        <v>0</v>
      </c>
      <c r="D46" s="61">
        <f>(SUMIFS('MAIN DATA, Orders'!$M:$M,'MAIN DATA, Orders'!$C:$C,"Germany",'MAIN DATA, Orders'!$N:$N,"Sondervermögen",'MAIN DATA, Orders'!$G:$G,"Air defence system",'MAIN DATA, Orders'!$Q:$Q,$A46)/1000000000)</f>
        <v>0</v>
      </c>
      <c r="E46" s="61">
        <f>(SUMIFS('MAIN DATA, Orders'!$M:$M,'MAIN DATA, Orders'!$C:$C,"Germany",'MAIN DATA, Orders'!$N:$N,"Einzelplan 60",'MAIN DATA, Orders'!$G:$G,"Air defence system",'MAIN DATA, Orders'!$Q:$Q,$A46)/1000000000)</f>
        <v>0</v>
      </c>
    </row>
    <row r="47" spans="1:5">
      <c r="A47" s="72">
        <v>41</v>
      </c>
      <c r="B47" s="68">
        <v>45047</v>
      </c>
      <c r="C47" s="61">
        <f>(SUMIFS('MAIN DATA, Orders'!$M:$M,'MAIN DATA, Orders'!$C:$C,"Germany",'MAIN DATA, Orders'!$N:$N,"Einzelplan 14",'MAIN DATA, Orders'!$G:$G,"Air defence system",'MAIN DATA, Orders'!$Q:$Q,$A47)/1000000000)</f>
        <v>0</v>
      </c>
      <c r="D47" s="61">
        <f>(SUMIFS('MAIN DATA, Orders'!$M:$M,'MAIN DATA, Orders'!$C:$C,"Germany",'MAIN DATA, Orders'!$N:$N,"Sondervermögen",'MAIN DATA, Orders'!$G:$G,"Air defence system",'MAIN DATA, Orders'!$Q:$Q,$A47)/1000000000)</f>
        <v>0</v>
      </c>
      <c r="E47" s="61">
        <f>(SUMIFS('MAIN DATA, Orders'!$M:$M,'MAIN DATA, Orders'!$C:$C,"Germany",'MAIN DATA, Orders'!$N:$N,"Einzelplan 60",'MAIN DATA, Orders'!$G:$G,"Air defence system",'MAIN DATA, Orders'!$Q:$Q,$A47)/1000000000)</f>
        <v>0</v>
      </c>
    </row>
    <row r="48" spans="1:5">
      <c r="A48" s="72">
        <v>42</v>
      </c>
      <c r="B48" s="68">
        <v>45078</v>
      </c>
      <c r="C48" s="61">
        <f>(SUMIFS('MAIN DATA, Orders'!$M:$M,'MAIN DATA, Orders'!$C:$C,"Germany",'MAIN DATA, Orders'!$N:$N,"Einzelplan 14",'MAIN DATA, Orders'!$G:$G,"Air defence system",'MAIN DATA, Orders'!$Q:$Q,$A48)/1000000000)</f>
        <v>0</v>
      </c>
      <c r="D48" s="61">
        <f>(SUMIFS('MAIN DATA, Orders'!$M:$M,'MAIN DATA, Orders'!$C:$C,"Germany",'MAIN DATA, Orders'!$N:$N,"Sondervermögen",'MAIN DATA, Orders'!$G:$G,"Air defence system",'MAIN DATA, Orders'!$Q:$Q,$A48)/1000000000)</f>
        <v>0.95</v>
      </c>
      <c r="E48" s="61">
        <f>(SUMIFS('MAIN DATA, Orders'!$M:$M,'MAIN DATA, Orders'!$C:$C,"Germany",'MAIN DATA, Orders'!$N:$N,"Einzelplan 60",'MAIN DATA, Orders'!$G:$G,"Air defence system",'MAIN DATA, Orders'!$Q:$Q,$A48)/1000000000)</f>
        <v>0</v>
      </c>
    </row>
    <row r="49" spans="1:5">
      <c r="A49" s="72">
        <v>43</v>
      </c>
      <c r="B49" s="68">
        <v>45108</v>
      </c>
      <c r="C49" s="61">
        <f>(SUMIFS('MAIN DATA, Orders'!$M:$M,'MAIN DATA, Orders'!$C:$C,"Germany",'MAIN DATA, Orders'!$N:$N,"Einzelplan 14",'MAIN DATA, Orders'!$G:$G,"Air defence system",'MAIN DATA, Orders'!$Q:$Q,$A49)/1000000000)</f>
        <v>0</v>
      </c>
      <c r="D49" s="61">
        <f>(SUMIFS('MAIN DATA, Orders'!$M:$M,'MAIN DATA, Orders'!$C:$C,"Germany",'MAIN DATA, Orders'!$N:$N,"Sondervermögen",'MAIN DATA, Orders'!$G:$G,"Air defence system",'MAIN DATA, Orders'!$Q:$Q,$A49)/1000000000)</f>
        <v>0</v>
      </c>
      <c r="E49" s="61">
        <f>(SUMIFS('MAIN DATA, Orders'!$M:$M,'MAIN DATA, Orders'!$C:$C,"Germany",'MAIN DATA, Orders'!$N:$N,"Einzelplan 60",'MAIN DATA, Orders'!$G:$G,"Air defence system",'MAIN DATA, Orders'!$Q:$Q,$A49)/1000000000)</f>
        <v>0</v>
      </c>
    </row>
    <row r="50" spans="1:5">
      <c r="A50" s="72">
        <v>44</v>
      </c>
      <c r="B50" s="68">
        <v>45139</v>
      </c>
      <c r="C50" s="61">
        <f>(SUMIFS('MAIN DATA, Orders'!$M:$M,'MAIN DATA, Orders'!$C:$C,"Germany",'MAIN DATA, Orders'!$N:$N,"Einzelplan 14",'MAIN DATA, Orders'!$G:$G,"Air defence system",'MAIN DATA, Orders'!$Q:$Q,$A50)/1000000000)</f>
        <v>0</v>
      </c>
      <c r="D50" s="61">
        <f>(SUMIFS('MAIN DATA, Orders'!$M:$M,'MAIN DATA, Orders'!$C:$C,"Germany",'MAIN DATA, Orders'!$N:$N,"Sondervermögen",'MAIN DATA, Orders'!$G:$G,"Air defence system",'MAIN DATA, Orders'!$Q:$Q,$A50)/1000000000)</f>
        <v>0</v>
      </c>
      <c r="E50" s="61">
        <f>(SUMIFS('MAIN DATA, Orders'!$M:$M,'MAIN DATA, Orders'!$C:$C,"Germany",'MAIN DATA, Orders'!$N:$N,"Einzelplan 60",'MAIN DATA, Orders'!$G:$G,"Air defence system",'MAIN DATA, Orders'!$Q:$Q,$A50)/1000000000)</f>
        <v>0</v>
      </c>
    </row>
    <row r="51" spans="1:5">
      <c r="A51" s="72">
        <v>45</v>
      </c>
      <c r="B51" s="68">
        <v>45170</v>
      </c>
      <c r="C51" s="61">
        <f>(SUMIFS('MAIN DATA, Orders'!$M:$M,'MAIN DATA, Orders'!$C:$C,"Germany",'MAIN DATA, Orders'!$N:$N,"Einzelplan 14",'MAIN DATA, Orders'!$G:$G,"Air defence system",'MAIN DATA, Orders'!$Q:$Q,$A51)/1000000000)</f>
        <v>0</v>
      </c>
      <c r="D51" s="61">
        <f>(SUMIFS('MAIN DATA, Orders'!$M:$M,'MAIN DATA, Orders'!$C:$C,"Germany",'MAIN DATA, Orders'!$N:$N,"Sondervermögen",'MAIN DATA, Orders'!$G:$G,"Air defence system",'MAIN DATA, Orders'!$Q:$Q,$A51)/1000000000)</f>
        <v>0</v>
      </c>
      <c r="E51" s="61">
        <f>(SUMIFS('MAIN DATA, Orders'!$M:$M,'MAIN DATA, Orders'!$C:$C,"Germany",'MAIN DATA, Orders'!$N:$N,"Einzelplan 60",'MAIN DATA, Orders'!$G:$G,"Air defence system",'MAIN DATA, Orders'!$Q:$Q,$A51)/1000000000)</f>
        <v>0</v>
      </c>
    </row>
    <row r="52" spans="1:5">
      <c r="A52" s="72">
        <v>46</v>
      </c>
      <c r="B52" s="68">
        <v>45200</v>
      </c>
      <c r="C52" s="61">
        <f>(SUMIFS('MAIN DATA, Orders'!$M:$M,'MAIN DATA, Orders'!$C:$C,"Germany",'MAIN DATA, Orders'!$N:$N,"Einzelplan 14",'MAIN DATA, Orders'!$G:$G,"Air defence system",'MAIN DATA, Orders'!$Q:$Q,$A52)/1000000000)</f>
        <v>0</v>
      </c>
      <c r="D52" s="61">
        <f>(SUMIFS('MAIN DATA, Orders'!$M:$M,'MAIN DATA, Orders'!$C:$C,"Germany",'MAIN DATA, Orders'!$N:$N,"Sondervermögen",'MAIN DATA, Orders'!$G:$G,"Air defence system",'MAIN DATA, Orders'!$Q:$Q,$A52)/1000000000)</f>
        <v>4.0404999999999998</v>
      </c>
      <c r="E52" s="61">
        <f>(SUMIFS('MAIN DATA, Orders'!$M:$M,'MAIN DATA, Orders'!$C:$C,"Germany",'MAIN DATA, Orders'!$N:$N,"Einzelplan 60",'MAIN DATA, Orders'!$G:$G,"Air defence system",'MAIN DATA, Orders'!$Q:$Q,$A52)/1000000000)</f>
        <v>0</v>
      </c>
    </row>
    <row r="53" spans="1:5">
      <c r="A53" s="72">
        <v>47</v>
      </c>
      <c r="B53" s="68">
        <v>45231</v>
      </c>
      <c r="C53" s="61">
        <f>(SUMIFS('MAIN DATA, Orders'!$M:$M,'MAIN DATA, Orders'!$C:$C,"Germany",'MAIN DATA, Orders'!$N:$N,"Einzelplan 14",'MAIN DATA, Orders'!$G:$G,"Air defence system",'MAIN DATA, Orders'!$Q:$Q,$A53)/1000000000)</f>
        <v>0</v>
      </c>
      <c r="D53" s="61">
        <f>(SUMIFS('MAIN DATA, Orders'!$M:$M,'MAIN DATA, Orders'!$C:$C,"Germany",'MAIN DATA, Orders'!$N:$N,"Sondervermögen",'MAIN DATA, Orders'!$G:$G,"Air defence system",'MAIN DATA, Orders'!$Q:$Q,$A53)/1000000000)</f>
        <v>0</v>
      </c>
      <c r="E53" s="61">
        <f>(SUMIFS('MAIN DATA, Orders'!$M:$M,'MAIN DATA, Orders'!$C:$C,"Germany",'MAIN DATA, Orders'!$N:$N,"Einzelplan 60",'MAIN DATA, Orders'!$G:$G,"Air defence system",'MAIN DATA, Orders'!$Q:$Q,$A53)/1000000000)</f>
        <v>0</v>
      </c>
    </row>
    <row r="54" spans="1:5">
      <c r="A54" s="72">
        <v>48</v>
      </c>
      <c r="B54" s="68">
        <v>45261</v>
      </c>
      <c r="C54" s="61">
        <f>(SUMIFS('MAIN DATA, Orders'!$M:$M,'MAIN DATA, Orders'!$C:$C,"Germany",'MAIN DATA, Orders'!$N:$N,"Einzelplan 14",'MAIN DATA, Orders'!$G:$G,"Air defence system",'MAIN DATA, Orders'!$Q:$Q,$A54)/1000000000)</f>
        <v>0</v>
      </c>
      <c r="D54" s="61">
        <f>(SUMIFS('MAIN DATA, Orders'!$M:$M,'MAIN DATA, Orders'!$C:$C,"Germany",'MAIN DATA, Orders'!$N:$N,"Sondervermögen",'MAIN DATA, Orders'!$G:$G,"Air defence system",'MAIN DATA, Orders'!$Q:$Q,$A54)/1000000000)</f>
        <v>0</v>
      </c>
      <c r="E54" s="61">
        <f>(SUMIFS('MAIN DATA, Orders'!$M:$M,'MAIN DATA, Orders'!$C:$C,"Germany",'MAIN DATA, Orders'!$N:$N,"Einzelplan 60",'MAIN DATA, Orders'!$G:$G,"Air defence system",'MAIN DATA, Orders'!$Q:$Q,$A54)/1000000000)</f>
        <v>0</v>
      </c>
    </row>
    <row r="55" spans="1:5">
      <c r="A55" s="72">
        <v>49</v>
      </c>
      <c r="B55" s="68">
        <v>45292</v>
      </c>
      <c r="C55" s="61">
        <f>(SUMIFS('MAIN DATA, Orders'!$M:$M,'MAIN DATA, Orders'!$C:$C,"Germany",'MAIN DATA, Orders'!$N:$N,"Einzelplan 14",'MAIN DATA, Orders'!$G:$G,"Air defence system",'MAIN DATA, Orders'!$Q:$Q,$A55)/1000000000)</f>
        <v>0</v>
      </c>
      <c r="D55" s="61">
        <f>(SUMIFS('MAIN DATA, Orders'!$M:$M,'MAIN DATA, Orders'!$C:$C,"Germany",'MAIN DATA, Orders'!$N:$N,"Sondervermögen",'MAIN DATA, Orders'!$G:$G,"Air defence system",'MAIN DATA, Orders'!$Q:$Q,$A55)/1000000000)</f>
        <v>0</v>
      </c>
      <c r="E55" s="61">
        <f>(SUMIFS('MAIN DATA, Orders'!$M:$M,'MAIN DATA, Orders'!$C:$C,"Germany",'MAIN DATA, Orders'!$N:$N,"Einzelplan 60",'MAIN DATA, Orders'!$G:$G,"Air defence system",'MAIN DATA, Orders'!$Q:$Q,$A55)/1000000000)</f>
        <v>0</v>
      </c>
    </row>
    <row r="56" spans="1:5">
      <c r="A56" s="72">
        <v>50</v>
      </c>
      <c r="B56" s="68">
        <v>45323</v>
      </c>
      <c r="C56" s="61">
        <f>(SUMIFS('MAIN DATA, Orders'!$M:$M,'MAIN DATA, Orders'!$C:$C,"Germany",'MAIN DATA, Orders'!$N:$N,"Einzelplan 14",'MAIN DATA, Orders'!$G:$G,"Air defence system",'MAIN DATA, Orders'!$Q:$Q,$A56)/1000000000)</f>
        <v>0</v>
      </c>
      <c r="D56" s="61">
        <f>(SUMIFS('MAIN DATA, Orders'!$M:$M,'MAIN DATA, Orders'!$C:$C,"Germany",'MAIN DATA, Orders'!$N:$N,"Sondervermögen",'MAIN DATA, Orders'!$G:$G,"Air defence system",'MAIN DATA, Orders'!$Q:$Q,$A56)/1000000000)</f>
        <v>0.64900000000000002</v>
      </c>
      <c r="E56" s="61">
        <f>(SUMIFS('MAIN DATA, Orders'!$M:$M,'MAIN DATA, Orders'!$C:$C,"Germany",'MAIN DATA, Orders'!$N:$N,"Einzelplan 60",'MAIN DATA, Orders'!$G:$G,"Air defence system",'MAIN DATA, Orders'!$Q:$Q,$A56)/1000000000)</f>
        <v>0</v>
      </c>
    </row>
    <row r="57" spans="1:5">
      <c r="A57" s="72">
        <v>51</v>
      </c>
      <c r="B57" s="68">
        <v>45352</v>
      </c>
      <c r="C57" s="61">
        <f>(SUMIFS('MAIN DATA, Orders'!$M:$M,'MAIN DATA, Orders'!$C:$C,"Germany",'MAIN DATA, Orders'!$N:$N,"Einzelplan 14",'MAIN DATA, Orders'!$G:$G,"Air defence system",'MAIN DATA, Orders'!$Q:$Q,$A57)/1000000000)</f>
        <v>0</v>
      </c>
      <c r="D57" s="61">
        <f>(SUMIFS('MAIN DATA, Orders'!$M:$M,'MAIN DATA, Orders'!$C:$C,"Germany",'MAIN DATA, Orders'!$N:$N,"Sondervermögen",'MAIN DATA, Orders'!$G:$G,"Air defence system",'MAIN DATA, Orders'!$Q:$Q,$A57)/1000000000)</f>
        <v>0.7</v>
      </c>
      <c r="E57" s="61">
        <f>(SUMIFS('MAIN DATA, Orders'!$M:$M,'MAIN DATA, Orders'!$C:$C,"Germany",'MAIN DATA, Orders'!$N:$N,"Einzelplan 60",'MAIN DATA, Orders'!$G:$G,"Air defence system",'MAIN DATA, Orders'!$Q:$Q,$A57)/1000000000)</f>
        <v>0.7</v>
      </c>
    </row>
    <row r="58" spans="1:5">
      <c r="A58" s="72">
        <v>52</v>
      </c>
      <c r="B58" s="68">
        <v>45383</v>
      </c>
      <c r="C58" s="61">
        <f>(SUMIFS('MAIN DATA, Orders'!$M:$M,'MAIN DATA, Orders'!$C:$C,"Germany",'MAIN DATA, Orders'!$N:$N,"Einzelplan 14",'MAIN DATA, Orders'!$G:$G,"Air defence system",'MAIN DATA, Orders'!$Q:$Q,$A58)/1000000000)</f>
        <v>0</v>
      </c>
      <c r="D58" s="61">
        <f>(SUMIFS('MAIN DATA, Orders'!$M:$M,'MAIN DATA, Orders'!$C:$C,"Germany",'MAIN DATA, Orders'!$N:$N,"Sondervermögen",'MAIN DATA, Orders'!$G:$G,"Air defence system",'MAIN DATA, Orders'!$Q:$Q,$A58)/1000000000)</f>
        <v>0</v>
      </c>
      <c r="E58" s="61">
        <f>(SUMIFS('MAIN DATA, Orders'!$M:$M,'MAIN DATA, Orders'!$C:$C,"Germany",'MAIN DATA, Orders'!$N:$N,"Einzelplan 60",'MAIN DATA, Orders'!$G:$G,"Air defence system",'MAIN DATA, Orders'!$Q:$Q,$A58)/1000000000)</f>
        <v>0</v>
      </c>
    </row>
    <row r="59" spans="1:5">
      <c r="A59" s="72">
        <v>53</v>
      </c>
      <c r="B59" s="68">
        <v>45413</v>
      </c>
      <c r="C59" s="61">
        <f>(SUMIFS('MAIN DATA, Orders'!$M:$M,'MAIN DATA, Orders'!$C:$C,"Germany",'MAIN DATA, Orders'!$N:$N,"Einzelplan 14",'MAIN DATA, Orders'!$G:$G,"Air defence system",'MAIN DATA, Orders'!$Q:$Q,$A59)/1000000000)</f>
        <v>0</v>
      </c>
      <c r="D59" s="61">
        <f>(SUMIFS('MAIN DATA, Orders'!$M:$M,'MAIN DATA, Orders'!$C:$C,"Germany",'MAIN DATA, Orders'!$N:$N,"Sondervermögen",'MAIN DATA, Orders'!$G:$G,"Air defence system",'MAIN DATA, Orders'!$Q:$Q,$A59)/1000000000)</f>
        <v>0</v>
      </c>
      <c r="E59" s="61">
        <f>(SUMIFS('MAIN DATA, Orders'!$M:$M,'MAIN DATA, Orders'!$C:$C,"Germany",'MAIN DATA, Orders'!$N:$N,"Einzelplan 60",'MAIN DATA, Orders'!$G:$G,"Air defence system",'MAIN DATA, Orders'!$Q:$Q,$A59)/1000000000)</f>
        <v>0</v>
      </c>
    </row>
    <row r="60" spans="1:5">
      <c r="A60" s="72">
        <v>54</v>
      </c>
      <c r="B60" s="68">
        <v>45444</v>
      </c>
      <c r="C60" s="61">
        <f>(SUMIFS('MAIN DATA, Orders'!$M:$M,'MAIN DATA, Orders'!$C:$C,"Germany",'MAIN DATA, Orders'!$N:$N,"Einzelplan 14",'MAIN DATA, Orders'!$G:$G,"Air defence system",'MAIN DATA, Orders'!$Q:$Q,$A60)/1000000000)</f>
        <v>0</v>
      </c>
      <c r="D60" s="61">
        <f>(SUMIFS('MAIN DATA, Orders'!$M:$M,'MAIN DATA, Orders'!$C:$C,"Germany",'MAIN DATA, Orders'!$N:$N,"Sondervermögen",'MAIN DATA, Orders'!$G:$G,"Air defence system",'MAIN DATA, Orders'!$Q:$Q,$A60)/1000000000)</f>
        <v>0</v>
      </c>
      <c r="E60" s="61">
        <f>(SUMIFS('MAIN DATA, Orders'!$M:$M,'MAIN DATA, Orders'!$C:$C,"Germany",'MAIN DATA, Orders'!$N:$N,"Einzelplan 60",'MAIN DATA, Orders'!$G:$G,"Air defence system",'MAIN DATA, Orders'!$Q:$Q,$A60)/1000000000)</f>
        <v>0</v>
      </c>
    </row>
    <row r="61" spans="1:5">
      <c r="A61" s="72">
        <v>55</v>
      </c>
      <c r="B61" s="155">
        <v>45474</v>
      </c>
      <c r="C61" s="159">
        <f>(SUMIFS('MAIN DATA, Orders'!$M:$M,'MAIN DATA, Orders'!$C:$C,"Germany",'MAIN DATA, Orders'!$N:$N,"Einzelplan 14",'MAIN DATA, Orders'!$G:$G,"Air defence system",'MAIN DATA, Orders'!$Q:$Q,$A61)/1000000000)</f>
        <v>1.05</v>
      </c>
      <c r="D61" s="159">
        <f>(SUMIFS('MAIN DATA, Orders'!$M:$M,'MAIN DATA, Orders'!$C:$C,"Germany",'MAIN DATA, Orders'!$N:$N,"Sondervermögen",'MAIN DATA, Orders'!$G:$G,"Air defence system",'MAIN DATA, Orders'!$Q:$Q,$A61)/1000000000)</f>
        <v>0</v>
      </c>
      <c r="E61" s="159">
        <f>(SUMIFS('MAIN DATA, Orders'!$M:$M,'MAIN DATA, Orders'!$C:$C,"Germany",'MAIN DATA, Orders'!$N:$N,"Einzelplan 60",'MAIN DATA, Orders'!$G:$G,"Air defence system",'MAIN DATA, Orders'!$Q:$Q,$A61)/1000000000)</f>
        <v>0.35</v>
      </c>
    </row>
    <row r="62" spans="1:5">
      <c r="A62" s="199"/>
      <c r="B62" s="199"/>
      <c r="C62" s="199"/>
      <c r="D62" s="199"/>
      <c r="E62" s="199"/>
    </row>
    <row r="63" spans="1:5">
      <c r="A63" s="199"/>
      <c r="B63" s="69" t="s">
        <v>1431</v>
      </c>
      <c r="C63" s="69">
        <f>SUM(C7:C61)</f>
        <v>1.05</v>
      </c>
      <c r="D63" s="69">
        <f>SUM(D7:D61)</f>
        <v>6.3395000000000001</v>
      </c>
      <c r="E63" s="69">
        <f>SUM(E7:E61)</f>
        <v>1.0499999999999998</v>
      </c>
    </row>
  </sheetData>
  <mergeCells count="1">
    <mergeCell ref="B4:F4"/>
  </mergeCell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2EF6AB-EB1A-4DD9-B06E-19188DF80592}">
  <sheetPr>
    <tabColor theme="9" tint="0.59999389629810485"/>
  </sheetPr>
  <dimension ref="A2:F63"/>
  <sheetViews>
    <sheetView workbookViewId="0"/>
  </sheetViews>
  <sheetFormatPr defaultColWidth="8.69921875" defaultRowHeight="15.6"/>
  <cols>
    <col min="1" max="1" width="8.69921875" style="1"/>
    <col min="2" max="2" width="13.5" style="1" customWidth="1"/>
    <col min="3" max="3" width="20.69921875" style="1" bestFit="1" customWidth="1"/>
    <col min="4" max="4" width="23.69921875" style="1" bestFit="1" customWidth="1"/>
    <col min="5" max="5" width="20.69921875" style="1" bestFit="1" customWidth="1"/>
    <col min="6" max="16384" width="8.69921875" style="1"/>
  </cols>
  <sheetData>
    <row r="2" spans="1:6" ht="25.2">
      <c r="B2" s="67" t="s">
        <v>1677</v>
      </c>
    </row>
    <row r="4" spans="1:6" ht="130.19999999999999" customHeight="1">
      <c r="B4" s="206" t="s">
        <v>1678</v>
      </c>
      <c r="C4" s="206"/>
      <c r="D4" s="206"/>
      <c r="E4" s="206"/>
      <c r="F4" s="206"/>
    </row>
    <row r="6" spans="1:6" ht="21" customHeight="1">
      <c r="A6" s="199"/>
      <c r="B6" s="161" t="s">
        <v>1404</v>
      </c>
      <c r="C6" s="162" t="s">
        <v>165</v>
      </c>
      <c r="D6" s="162" t="s">
        <v>665</v>
      </c>
      <c r="E6" s="162" t="s">
        <v>784</v>
      </c>
    </row>
    <row r="7" spans="1:6">
      <c r="A7" s="72">
        <v>1</v>
      </c>
      <c r="B7" s="68">
        <v>43831</v>
      </c>
      <c r="C7" s="17">
        <f>(SUMIFS('MAIN DATA, Orders'!$I:$I,'MAIN DATA, Orders'!$C:$C,"Germany",'MAIN DATA, Orders'!$N:$N,"Einzelplan 14",'MAIN DATA, Orders'!$G:$G,"Air defence system",'MAIN DATA, Orders'!$E:$E,"&lt;&gt;Cryptographic and radio device for Patriot system",'MAIN DATA, Orders'!$Q:$Q,$A7))</f>
        <v>0</v>
      </c>
      <c r="D7" s="17">
        <f>(SUMIFS('MAIN DATA, Orders'!$I:$I,'MAIN DATA, Orders'!$C:$C,"Germany",'MAIN DATA, Orders'!$N:$N,"Sondervermögen",'MAIN DATA, Orders'!$G:$G,"Air defence system",'MAIN DATA, Orders'!$E:$E,"&lt;&gt;Cryptographic and radio device for Patriot system",'MAIN DATA, Orders'!$Q:$Q,$A7))</f>
        <v>0</v>
      </c>
      <c r="E7" s="17">
        <f>(SUMIFS('MAIN DATA, Orders'!$I:$I,'MAIN DATA, Orders'!$C:$C,"Germany",'MAIN DATA, Orders'!$N:$N,"Einzelplan 60",'MAIN DATA, Orders'!$G:$G,"Air defence system",'MAIN DATA, Orders'!$E:$E,"&lt;&gt;Cryptographic and radio device for Patriot system",'MAIN DATA, Orders'!$Q:$Q,$A7))</f>
        <v>0</v>
      </c>
    </row>
    <row r="8" spans="1:6">
      <c r="A8" s="72">
        <v>2</v>
      </c>
      <c r="B8" s="68">
        <v>43862</v>
      </c>
      <c r="C8" s="17">
        <f>(SUMIFS('MAIN DATA, Orders'!$I:$I,'MAIN DATA, Orders'!$C:$C,"Germany",'MAIN DATA, Orders'!$N:$N,"Einzelplan 14",'MAIN DATA, Orders'!$G:$G,"Air defence system",'MAIN DATA, Orders'!$E:$E,"&lt;&gt;Cryptographic and radio device for Patriot system",'MAIN DATA, Orders'!$Q:$Q,$A8))</f>
        <v>0</v>
      </c>
      <c r="D8" s="17">
        <f>(SUMIFS('MAIN DATA, Orders'!$I:$I,'MAIN DATA, Orders'!$C:$C,"Germany",'MAIN DATA, Orders'!$N:$N,"Sondervermögen",'MAIN DATA, Orders'!$G:$G,"Air defence system",'MAIN DATA, Orders'!$E:$E,"&lt;&gt;Cryptographic and radio device for Patriot system",'MAIN DATA, Orders'!$Q:$Q,$A8))</f>
        <v>0</v>
      </c>
      <c r="E8" s="17">
        <f>(SUMIFS('MAIN DATA, Orders'!$I:$I,'MAIN DATA, Orders'!$C:$C,"Germany",'MAIN DATA, Orders'!$N:$N,"Einzelplan 60",'MAIN DATA, Orders'!$G:$G,"Air defence system",'MAIN DATA, Orders'!$E:$E,"&lt;&gt;Cryptographic and radio device for Patriot system",'MAIN DATA, Orders'!$Q:$Q,$A8))</f>
        <v>0</v>
      </c>
    </row>
    <row r="9" spans="1:6">
      <c r="A9" s="72">
        <v>3</v>
      </c>
      <c r="B9" s="68">
        <v>43891</v>
      </c>
      <c r="C9" s="17">
        <f>(SUMIFS('MAIN DATA, Orders'!$I:$I,'MAIN DATA, Orders'!$C:$C,"Germany",'MAIN DATA, Orders'!$N:$N,"Einzelplan 14",'MAIN DATA, Orders'!$G:$G,"Air defence system",'MAIN DATA, Orders'!$E:$E,"&lt;&gt;Cryptographic and radio device for Patriot system",'MAIN DATA, Orders'!$Q:$Q,$A9))</f>
        <v>0</v>
      </c>
      <c r="D9" s="17">
        <f>(SUMIFS('MAIN DATA, Orders'!$I:$I,'MAIN DATA, Orders'!$C:$C,"Germany",'MAIN DATA, Orders'!$N:$N,"Sondervermögen",'MAIN DATA, Orders'!$G:$G,"Air defence system",'MAIN DATA, Orders'!$E:$E,"&lt;&gt;Cryptographic and radio device for Patriot system",'MAIN DATA, Orders'!$Q:$Q,$A9))</f>
        <v>0</v>
      </c>
      <c r="E9" s="17">
        <f>(SUMIFS('MAIN DATA, Orders'!$I:$I,'MAIN DATA, Orders'!$C:$C,"Germany",'MAIN DATA, Orders'!$N:$N,"Einzelplan 60",'MAIN DATA, Orders'!$G:$G,"Air defence system",'MAIN DATA, Orders'!$E:$E,"&lt;&gt;Cryptographic and radio device for Patriot system",'MAIN DATA, Orders'!$Q:$Q,$A9))</f>
        <v>0</v>
      </c>
    </row>
    <row r="10" spans="1:6">
      <c r="A10" s="72">
        <v>4</v>
      </c>
      <c r="B10" s="68">
        <v>43922</v>
      </c>
      <c r="C10" s="17">
        <f>(SUMIFS('MAIN DATA, Orders'!$I:$I,'MAIN DATA, Orders'!$C:$C,"Germany",'MAIN DATA, Orders'!$N:$N,"Einzelplan 14",'MAIN DATA, Orders'!$G:$G,"Air defence system",'MAIN DATA, Orders'!$E:$E,"&lt;&gt;Cryptographic and radio device for Patriot system",'MAIN DATA, Orders'!$Q:$Q,$A10))</f>
        <v>0</v>
      </c>
      <c r="D10" s="17">
        <f>(SUMIFS('MAIN DATA, Orders'!$I:$I,'MAIN DATA, Orders'!$C:$C,"Germany",'MAIN DATA, Orders'!$N:$N,"Sondervermögen",'MAIN DATA, Orders'!$G:$G,"Air defence system",'MAIN DATA, Orders'!$E:$E,"&lt;&gt;Cryptographic and radio device for Patriot system",'MAIN DATA, Orders'!$Q:$Q,$A10))</f>
        <v>0</v>
      </c>
      <c r="E10" s="17">
        <f>(SUMIFS('MAIN DATA, Orders'!$I:$I,'MAIN DATA, Orders'!$C:$C,"Germany",'MAIN DATA, Orders'!$N:$N,"Einzelplan 60",'MAIN DATA, Orders'!$G:$G,"Air defence system",'MAIN DATA, Orders'!$E:$E,"&lt;&gt;Cryptographic and radio device for Patriot system",'MAIN DATA, Orders'!$Q:$Q,$A10))</f>
        <v>0</v>
      </c>
    </row>
    <row r="11" spans="1:6">
      <c r="A11" s="72">
        <v>5</v>
      </c>
      <c r="B11" s="68">
        <v>43952</v>
      </c>
      <c r="C11" s="17">
        <f>(SUMIFS('MAIN DATA, Orders'!$I:$I,'MAIN DATA, Orders'!$C:$C,"Germany",'MAIN DATA, Orders'!$N:$N,"Einzelplan 14",'MAIN DATA, Orders'!$G:$G,"Air defence system",'MAIN DATA, Orders'!$E:$E,"&lt;&gt;Cryptographic and radio device for Patriot system",'MAIN DATA, Orders'!$Q:$Q,$A11))</f>
        <v>0</v>
      </c>
      <c r="D11" s="17">
        <f>(SUMIFS('MAIN DATA, Orders'!$I:$I,'MAIN DATA, Orders'!$C:$C,"Germany",'MAIN DATA, Orders'!$N:$N,"Sondervermögen",'MAIN DATA, Orders'!$G:$G,"Air defence system",'MAIN DATA, Orders'!$E:$E,"&lt;&gt;Cryptographic and radio device for Patriot system",'MAIN DATA, Orders'!$Q:$Q,$A11))</f>
        <v>0</v>
      </c>
      <c r="E11" s="17">
        <f>(SUMIFS('MAIN DATA, Orders'!$I:$I,'MAIN DATA, Orders'!$C:$C,"Germany",'MAIN DATA, Orders'!$N:$N,"Einzelplan 60",'MAIN DATA, Orders'!$G:$G,"Air defence system",'MAIN DATA, Orders'!$E:$E,"&lt;&gt;Cryptographic and radio device for Patriot system",'MAIN DATA, Orders'!$Q:$Q,$A11))</f>
        <v>0</v>
      </c>
    </row>
    <row r="12" spans="1:6">
      <c r="A12" s="72">
        <v>6</v>
      </c>
      <c r="B12" s="68">
        <v>43983</v>
      </c>
      <c r="C12" s="17">
        <f>(SUMIFS('MAIN DATA, Orders'!$I:$I,'MAIN DATA, Orders'!$C:$C,"Germany",'MAIN DATA, Orders'!$N:$N,"Einzelplan 14",'MAIN DATA, Orders'!$G:$G,"Air defence system",'MAIN DATA, Orders'!$E:$E,"&lt;&gt;Cryptographic and radio device for Patriot system",'MAIN DATA, Orders'!$Q:$Q,$A12))</f>
        <v>0</v>
      </c>
      <c r="D12" s="17">
        <f>(SUMIFS('MAIN DATA, Orders'!$I:$I,'MAIN DATA, Orders'!$C:$C,"Germany",'MAIN DATA, Orders'!$N:$N,"Sondervermögen",'MAIN DATA, Orders'!$G:$G,"Air defence system",'MAIN DATA, Orders'!$E:$E,"&lt;&gt;Cryptographic and radio device for Patriot system",'MAIN DATA, Orders'!$Q:$Q,$A12))</f>
        <v>0</v>
      </c>
      <c r="E12" s="17">
        <f>(SUMIFS('MAIN DATA, Orders'!$I:$I,'MAIN DATA, Orders'!$C:$C,"Germany",'MAIN DATA, Orders'!$N:$N,"Einzelplan 60",'MAIN DATA, Orders'!$G:$G,"Air defence system",'MAIN DATA, Orders'!$E:$E,"&lt;&gt;Cryptographic and radio device for Patriot system",'MAIN DATA, Orders'!$Q:$Q,$A12))</f>
        <v>0</v>
      </c>
    </row>
    <row r="13" spans="1:6">
      <c r="A13" s="72">
        <v>7</v>
      </c>
      <c r="B13" s="68">
        <v>44013</v>
      </c>
      <c r="C13" s="17">
        <f>(SUMIFS('MAIN DATA, Orders'!$I:$I,'MAIN DATA, Orders'!$C:$C,"Germany",'MAIN DATA, Orders'!$N:$N,"Einzelplan 14",'MAIN DATA, Orders'!$G:$G,"Air defence system",'MAIN DATA, Orders'!$E:$E,"&lt;&gt;Cryptographic and radio device for Patriot system",'MAIN DATA, Orders'!$Q:$Q,$A13))</f>
        <v>0</v>
      </c>
      <c r="D13" s="17">
        <f>(SUMIFS('MAIN DATA, Orders'!$I:$I,'MAIN DATA, Orders'!$C:$C,"Germany",'MAIN DATA, Orders'!$N:$N,"Sondervermögen",'MAIN DATA, Orders'!$G:$G,"Air defence system",'MAIN DATA, Orders'!$E:$E,"&lt;&gt;Cryptographic and radio device for Patriot system",'MAIN DATA, Orders'!$Q:$Q,$A13))</f>
        <v>0</v>
      </c>
      <c r="E13" s="17">
        <f>(SUMIFS('MAIN DATA, Orders'!$I:$I,'MAIN DATA, Orders'!$C:$C,"Germany",'MAIN DATA, Orders'!$N:$N,"Einzelplan 60",'MAIN DATA, Orders'!$G:$G,"Air defence system",'MAIN DATA, Orders'!$E:$E,"&lt;&gt;Cryptographic and radio device for Patriot system",'MAIN DATA, Orders'!$Q:$Q,$A13))</f>
        <v>0</v>
      </c>
    </row>
    <row r="14" spans="1:6">
      <c r="A14" s="72">
        <v>8</v>
      </c>
      <c r="B14" s="68">
        <v>44044</v>
      </c>
      <c r="C14" s="17">
        <f>(SUMIFS('MAIN DATA, Orders'!$I:$I,'MAIN DATA, Orders'!$C:$C,"Germany",'MAIN DATA, Orders'!$N:$N,"Einzelplan 14",'MAIN DATA, Orders'!$G:$G,"Air defence system",'MAIN DATA, Orders'!$E:$E,"&lt;&gt;Cryptographic and radio device for Patriot system",'MAIN DATA, Orders'!$Q:$Q,$A14))</f>
        <v>0</v>
      </c>
      <c r="D14" s="17">
        <f>(SUMIFS('MAIN DATA, Orders'!$I:$I,'MAIN DATA, Orders'!$C:$C,"Germany",'MAIN DATA, Orders'!$N:$N,"Sondervermögen",'MAIN DATA, Orders'!$G:$G,"Air defence system",'MAIN DATA, Orders'!$E:$E,"&lt;&gt;Cryptographic and radio device for Patriot system",'MAIN DATA, Orders'!$Q:$Q,$A14))</f>
        <v>0</v>
      </c>
      <c r="E14" s="17">
        <f>(SUMIFS('MAIN DATA, Orders'!$I:$I,'MAIN DATA, Orders'!$C:$C,"Germany",'MAIN DATA, Orders'!$N:$N,"Einzelplan 60",'MAIN DATA, Orders'!$G:$G,"Air defence system",'MAIN DATA, Orders'!$E:$E,"&lt;&gt;Cryptographic and radio device for Patriot system",'MAIN DATA, Orders'!$Q:$Q,$A14))</f>
        <v>0</v>
      </c>
    </row>
    <row r="15" spans="1:6">
      <c r="A15" s="72">
        <v>9</v>
      </c>
      <c r="B15" s="68">
        <v>44075</v>
      </c>
      <c r="C15" s="17">
        <f>(SUMIFS('MAIN DATA, Orders'!$I:$I,'MAIN DATA, Orders'!$C:$C,"Germany",'MAIN DATA, Orders'!$N:$N,"Einzelplan 14",'MAIN DATA, Orders'!$G:$G,"Air defence system",'MAIN DATA, Orders'!$E:$E,"&lt;&gt;Cryptographic and radio device for Patriot system",'MAIN DATA, Orders'!$Q:$Q,$A15))</f>
        <v>0</v>
      </c>
      <c r="D15" s="17">
        <f>(SUMIFS('MAIN DATA, Orders'!$I:$I,'MAIN DATA, Orders'!$C:$C,"Germany",'MAIN DATA, Orders'!$N:$N,"Sondervermögen",'MAIN DATA, Orders'!$G:$G,"Air defence system",'MAIN DATA, Orders'!$E:$E,"&lt;&gt;Cryptographic and radio device for Patriot system",'MAIN DATA, Orders'!$Q:$Q,$A15))</f>
        <v>0</v>
      </c>
      <c r="E15" s="17">
        <f>(SUMIFS('MAIN DATA, Orders'!$I:$I,'MAIN DATA, Orders'!$C:$C,"Germany",'MAIN DATA, Orders'!$N:$N,"Einzelplan 60",'MAIN DATA, Orders'!$G:$G,"Air defence system",'MAIN DATA, Orders'!$E:$E,"&lt;&gt;Cryptographic and radio device for Patriot system",'MAIN DATA, Orders'!$Q:$Q,$A15))</f>
        <v>0</v>
      </c>
    </row>
    <row r="16" spans="1:6">
      <c r="A16" s="72">
        <v>10</v>
      </c>
      <c r="B16" s="68">
        <v>44105</v>
      </c>
      <c r="C16" s="17">
        <f>(SUMIFS('MAIN DATA, Orders'!$I:$I,'MAIN DATA, Orders'!$C:$C,"Germany",'MAIN DATA, Orders'!$N:$N,"Einzelplan 14",'MAIN DATA, Orders'!$G:$G,"Air defence system",'MAIN DATA, Orders'!$E:$E,"&lt;&gt;Cryptographic and radio device for Patriot system",'MAIN DATA, Orders'!$Q:$Q,$A16))</f>
        <v>0</v>
      </c>
      <c r="D16" s="17">
        <f>(SUMIFS('MAIN DATA, Orders'!$I:$I,'MAIN DATA, Orders'!$C:$C,"Germany",'MAIN DATA, Orders'!$N:$N,"Sondervermögen",'MAIN DATA, Orders'!$G:$G,"Air defence system",'MAIN DATA, Orders'!$E:$E,"&lt;&gt;Cryptographic and radio device for Patriot system",'MAIN DATA, Orders'!$Q:$Q,$A16))</f>
        <v>0</v>
      </c>
      <c r="E16" s="17">
        <f>(SUMIFS('MAIN DATA, Orders'!$I:$I,'MAIN DATA, Orders'!$C:$C,"Germany",'MAIN DATA, Orders'!$N:$N,"Einzelplan 60",'MAIN DATA, Orders'!$G:$G,"Air defence system",'MAIN DATA, Orders'!$E:$E,"&lt;&gt;Cryptographic and radio device for Patriot system",'MAIN DATA, Orders'!$Q:$Q,$A16))</f>
        <v>0</v>
      </c>
    </row>
    <row r="17" spans="1:5">
      <c r="A17" s="72">
        <v>11</v>
      </c>
      <c r="B17" s="68">
        <v>44136</v>
      </c>
      <c r="C17" s="17">
        <f>(SUMIFS('MAIN DATA, Orders'!$I:$I,'MAIN DATA, Orders'!$C:$C,"Germany",'MAIN DATA, Orders'!$N:$N,"Einzelplan 14",'MAIN DATA, Orders'!$G:$G,"Air defence system",'MAIN DATA, Orders'!$E:$E,"&lt;&gt;Cryptographic and radio device for Patriot system",'MAIN DATA, Orders'!$Q:$Q,$A17))</f>
        <v>0</v>
      </c>
      <c r="D17" s="17">
        <f>(SUMIFS('MAIN DATA, Orders'!$I:$I,'MAIN DATA, Orders'!$C:$C,"Germany",'MAIN DATA, Orders'!$N:$N,"Sondervermögen",'MAIN DATA, Orders'!$G:$G,"Air defence system",'MAIN DATA, Orders'!$E:$E,"&lt;&gt;Cryptographic and radio device for Patriot system",'MAIN DATA, Orders'!$Q:$Q,$A17))</f>
        <v>0</v>
      </c>
      <c r="E17" s="17">
        <f>(SUMIFS('MAIN DATA, Orders'!$I:$I,'MAIN DATA, Orders'!$C:$C,"Germany",'MAIN DATA, Orders'!$N:$N,"Einzelplan 60",'MAIN DATA, Orders'!$G:$G,"Air defence system",'MAIN DATA, Orders'!$E:$E,"&lt;&gt;Cryptographic and radio device for Patriot system",'MAIN DATA, Orders'!$Q:$Q,$A17))</f>
        <v>0</v>
      </c>
    </row>
    <row r="18" spans="1:5">
      <c r="A18" s="72">
        <v>12</v>
      </c>
      <c r="B18" s="68">
        <v>44166</v>
      </c>
      <c r="C18" s="17">
        <f>(SUMIFS('MAIN DATA, Orders'!$I:$I,'MAIN DATA, Orders'!$C:$C,"Germany",'MAIN DATA, Orders'!$N:$N,"Einzelplan 14",'MAIN DATA, Orders'!$G:$G,"Air defence system",'MAIN DATA, Orders'!$E:$E,"&lt;&gt;Cryptographic and radio device for Patriot system",'MAIN DATA, Orders'!$Q:$Q,$A18))</f>
        <v>0</v>
      </c>
      <c r="D18" s="17">
        <f>(SUMIFS('MAIN DATA, Orders'!$I:$I,'MAIN DATA, Orders'!$C:$C,"Germany",'MAIN DATA, Orders'!$N:$N,"Sondervermögen",'MAIN DATA, Orders'!$G:$G,"Air defence system",'MAIN DATA, Orders'!$E:$E,"&lt;&gt;Cryptographic and radio device for Patriot system",'MAIN DATA, Orders'!$Q:$Q,$A18))</f>
        <v>0</v>
      </c>
      <c r="E18" s="17">
        <f>(SUMIFS('MAIN DATA, Orders'!$I:$I,'MAIN DATA, Orders'!$C:$C,"Germany",'MAIN DATA, Orders'!$N:$N,"Einzelplan 60",'MAIN DATA, Orders'!$G:$G,"Air defence system",'MAIN DATA, Orders'!$E:$E,"&lt;&gt;Cryptographic and radio device for Patriot system",'MAIN DATA, Orders'!$Q:$Q,$A18))</f>
        <v>0</v>
      </c>
    </row>
    <row r="19" spans="1:5">
      <c r="A19" s="72">
        <v>13</v>
      </c>
      <c r="B19" s="68">
        <v>44197</v>
      </c>
      <c r="C19" s="17">
        <f>(SUMIFS('MAIN DATA, Orders'!$I:$I,'MAIN DATA, Orders'!$C:$C,"Germany",'MAIN DATA, Orders'!$N:$N,"Einzelplan 14",'MAIN DATA, Orders'!$G:$G,"Air defence system",'MAIN DATA, Orders'!$E:$E,"&lt;&gt;Cryptographic and radio device for Patriot system",'MAIN DATA, Orders'!$Q:$Q,$A19))</f>
        <v>0</v>
      </c>
      <c r="D19" s="17">
        <f>(SUMIFS('MAIN DATA, Orders'!$I:$I,'MAIN DATA, Orders'!$C:$C,"Germany",'MAIN DATA, Orders'!$N:$N,"Sondervermögen",'MAIN DATA, Orders'!$G:$G,"Air defence system",'MAIN DATA, Orders'!$E:$E,"&lt;&gt;Cryptographic and radio device for Patriot system",'MAIN DATA, Orders'!$Q:$Q,$A19))</f>
        <v>0</v>
      </c>
      <c r="E19" s="17">
        <f>(SUMIFS('MAIN DATA, Orders'!$I:$I,'MAIN DATA, Orders'!$C:$C,"Germany",'MAIN DATA, Orders'!$N:$N,"Einzelplan 60",'MAIN DATA, Orders'!$G:$G,"Air defence system",'MAIN DATA, Orders'!$E:$E,"&lt;&gt;Cryptographic and radio device for Patriot system",'MAIN DATA, Orders'!$Q:$Q,$A19))</f>
        <v>0</v>
      </c>
    </row>
    <row r="20" spans="1:5">
      <c r="A20" s="72">
        <v>14</v>
      </c>
      <c r="B20" s="68">
        <v>44228</v>
      </c>
      <c r="C20" s="17">
        <f>(SUMIFS('MAIN DATA, Orders'!$I:$I,'MAIN DATA, Orders'!$C:$C,"Germany",'MAIN DATA, Orders'!$N:$N,"Einzelplan 14",'MAIN DATA, Orders'!$G:$G,"Air defence system",'MAIN DATA, Orders'!$E:$E,"&lt;&gt;Cryptographic and radio device for Patriot system",'MAIN DATA, Orders'!$Q:$Q,$A20))</f>
        <v>0</v>
      </c>
      <c r="D20" s="17">
        <f>(SUMIFS('MAIN DATA, Orders'!$I:$I,'MAIN DATA, Orders'!$C:$C,"Germany",'MAIN DATA, Orders'!$N:$N,"Sondervermögen",'MAIN DATA, Orders'!$G:$G,"Air defence system",'MAIN DATA, Orders'!$E:$E,"&lt;&gt;Cryptographic and radio device for Patriot system",'MAIN DATA, Orders'!$Q:$Q,$A20))</f>
        <v>0</v>
      </c>
      <c r="E20" s="17">
        <f>(SUMIFS('MAIN DATA, Orders'!$I:$I,'MAIN DATA, Orders'!$C:$C,"Germany",'MAIN DATA, Orders'!$N:$N,"Einzelplan 60",'MAIN DATA, Orders'!$G:$G,"Air defence system",'MAIN DATA, Orders'!$E:$E,"&lt;&gt;Cryptographic and radio device for Patriot system",'MAIN DATA, Orders'!$Q:$Q,$A20))</f>
        <v>0</v>
      </c>
    </row>
    <row r="21" spans="1:5">
      <c r="A21" s="72">
        <v>15</v>
      </c>
      <c r="B21" s="68">
        <v>44256</v>
      </c>
      <c r="C21" s="17">
        <f>(SUMIFS('MAIN DATA, Orders'!$I:$I,'MAIN DATA, Orders'!$C:$C,"Germany",'MAIN DATA, Orders'!$N:$N,"Einzelplan 14",'MAIN DATA, Orders'!$G:$G,"Air defence system",'MAIN DATA, Orders'!$E:$E,"&lt;&gt;Cryptographic and radio device for Patriot system",'MAIN DATA, Orders'!$Q:$Q,$A21))</f>
        <v>0</v>
      </c>
      <c r="D21" s="17">
        <f>(SUMIFS('MAIN DATA, Orders'!$I:$I,'MAIN DATA, Orders'!$C:$C,"Germany",'MAIN DATA, Orders'!$N:$N,"Sondervermögen",'MAIN DATA, Orders'!$G:$G,"Air defence system",'MAIN DATA, Orders'!$E:$E,"&lt;&gt;Cryptographic and radio device for Patriot system",'MAIN DATA, Orders'!$Q:$Q,$A21))</f>
        <v>0</v>
      </c>
      <c r="E21" s="17">
        <f>(SUMIFS('MAIN DATA, Orders'!$I:$I,'MAIN DATA, Orders'!$C:$C,"Germany",'MAIN DATA, Orders'!$N:$N,"Einzelplan 60",'MAIN DATA, Orders'!$G:$G,"Air defence system",'MAIN DATA, Orders'!$E:$E,"&lt;&gt;Cryptographic and radio device for Patriot system",'MAIN DATA, Orders'!$Q:$Q,$A21))</f>
        <v>0</v>
      </c>
    </row>
    <row r="22" spans="1:5">
      <c r="A22" s="72">
        <v>16</v>
      </c>
      <c r="B22" s="68">
        <v>44287</v>
      </c>
      <c r="C22" s="17">
        <f>(SUMIFS('MAIN DATA, Orders'!$I:$I,'MAIN DATA, Orders'!$C:$C,"Germany",'MAIN DATA, Orders'!$N:$N,"Einzelplan 14",'MAIN DATA, Orders'!$G:$G,"Air defence system",'MAIN DATA, Orders'!$E:$E,"&lt;&gt;Cryptographic and radio device for Patriot system",'MAIN DATA, Orders'!$Q:$Q,$A22))</f>
        <v>0</v>
      </c>
      <c r="D22" s="17">
        <f>(SUMIFS('MAIN DATA, Orders'!$I:$I,'MAIN DATA, Orders'!$C:$C,"Germany",'MAIN DATA, Orders'!$N:$N,"Sondervermögen",'MAIN DATA, Orders'!$G:$G,"Air defence system",'MAIN DATA, Orders'!$E:$E,"&lt;&gt;Cryptographic and radio device for Patriot system",'MAIN DATA, Orders'!$Q:$Q,$A22))</f>
        <v>0</v>
      </c>
      <c r="E22" s="17">
        <f>(SUMIFS('MAIN DATA, Orders'!$I:$I,'MAIN DATA, Orders'!$C:$C,"Germany",'MAIN DATA, Orders'!$N:$N,"Einzelplan 60",'MAIN DATA, Orders'!$G:$G,"Air defence system",'MAIN DATA, Orders'!$E:$E,"&lt;&gt;Cryptographic and radio device for Patriot system",'MAIN DATA, Orders'!$Q:$Q,$A22))</f>
        <v>0</v>
      </c>
    </row>
    <row r="23" spans="1:5">
      <c r="A23" s="72">
        <v>17</v>
      </c>
      <c r="B23" s="68">
        <v>44317</v>
      </c>
      <c r="C23" s="17">
        <f>(SUMIFS('MAIN DATA, Orders'!$I:$I,'MAIN DATA, Orders'!$C:$C,"Germany",'MAIN DATA, Orders'!$N:$N,"Einzelplan 14",'MAIN DATA, Orders'!$G:$G,"Air defence system",'MAIN DATA, Orders'!$E:$E,"&lt;&gt;Cryptographic and radio device for Patriot system",'MAIN DATA, Orders'!$Q:$Q,$A23))</f>
        <v>0</v>
      </c>
      <c r="D23" s="17">
        <f>(SUMIFS('MAIN DATA, Orders'!$I:$I,'MAIN DATA, Orders'!$C:$C,"Germany",'MAIN DATA, Orders'!$N:$N,"Sondervermögen",'MAIN DATA, Orders'!$G:$G,"Air defence system",'MAIN DATA, Orders'!$E:$E,"&lt;&gt;Cryptographic and radio device for Patriot system",'MAIN DATA, Orders'!$Q:$Q,$A23))</f>
        <v>0</v>
      </c>
      <c r="E23" s="17">
        <f>(SUMIFS('MAIN DATA, Orders'!$I:$I,'MAIN DATA, Orders'!$C:$C,"Germany",'MAIN DATA, Orders'!$N:$N,"Einzelplan 60",'MAIN DATA, Orders'!$G:$G,"Air defence system",'MAIN DATA, Orders'!$E:$E,"&lt;&gt;Cryptographic and radio device for Patriot system",'MAIN DATA, Orders'!$Q:$Q,$A23))</f>
        <v>0</v>
      </c>
    </row>
    <row r="24" spans="1:5">
      <c r="A24" s="72">
        <v>18</v>
      </c>
      <c r="B24" s="68">
        <v>44348</v>
      </c>
      <c r="C24" s="17">
        <f>(SUMIFS('MAIN DATA, Orders'!$I:$I,'MAIN DATA, Orders'!$C:$C,"Germany",'MAIN DATA, Orders'!$N:$N,"Einzelplan 14",'MAIN DATA, Orders'!$G:$G,"Air defence system",'MAIN DATA, Orders'!$E:$E,"&lt;&gt;Cryptographic and radio device for Patriot system",'MAIN DATA, Orders'!$Q:$Q,$A24))</f>
        <v>0</v>
      </c>
      <c r="D24" s="17">
        <f>(SUMIFS('MAIN DATA, Orders'!$I:$I,'MAIN DATA, Orders'!$C:$C,"Germany",'MAIN DATA, Orders'!$N:$N,"Sondervermögen",'MAIN DATA, Orders'!$G:$G,"Air defence system",'MAIN DATA, Orders'!$E:$E,"&lt;&gt;Cryptographic and radio device for Patriot system",'MAIN DATA, Orders'!$Q:$Q,$A24))</f>
        <v>0</v>
      </c>
      <c r="E24" s="17">
        <f>(SUMIFS('MAIN DATA, Orders'!$I:$I,'MAIN DATA, Orders'!$C:$C,"Germany",'MAIN DATA, Orders'!$N:$N,"Einzelplan 60",'MAIN DATA, Orders'!$G:$G,"Air defence system",'MAIN DATA, Orders'!$E:$E,"&lt;&gt;Cryptographic and radio device for Patriot system",'MAIN DATA, Orders'!$Q:$Q,$A24))</f>
        <v>0</v>
      </c>
    </row>
    <row r="25" spans="1:5">
      <c r="A25" s="72">
        <v>19</v>
      </c>
      <c r="B25" s="68">
        <v>44378</v>
      </c>
      <c r="C25" s="17">
        <f>(SUMIFS('MAIN DATA, Orders'!$I:$I,'MAIN DATA, Orders'!$C:$C,"Germany",'MAIN DATA, Orders'!$N:$N,"Einzelplan 14",'MAIN DATA, Orders'!$G:$G,"Air defence system",'MAIN DATA, Orders'!$E:$E,"&lt;&gt;Cryptographic and radio device for Patriot system",'MAIN DATA, Orders'!$Q:$Q,$A25))</f>
        <v>0</v>
      </c>
      <c r="D25" s="17">
        <f>(SUMIFS('MAIN DATA, Orders'!$I:$I,'MAIN DATA, Orders'!$C:$C,"Germany",'MAIN DATA, Orders'!$N:$N,"Sondervermögen",'MAIN DATA, Orders'!$G:$G,"Air defence system",'MAIN DATA, Orders'!$E:$E,"&lt;&gt;Cryptographic and radio device for Patriot system",'MAIN DATA, Orders'!$Q:$Q,$A25))</f>
        <v>0</v>
      </c>
      <c r="E25" s="17">
        <f>(SUMIFS('MAIN DATA, Orders'!$I:$I,'MAIN DATA, Orders'!$C:$C,"Germany",'MAIN DATA, Orders'!$N:$N,"Einzelplan 60",'MAIN DATA, Orders'!$G:$G,"Air defence system",'MAIN DATA, Orders'!$E:$E,"&lt;&gt;Cryptographic and radio device for Patriot system",'MAIN DATA, Orders'!$Q:$Q,$A25))</f>
        <v>0</v>
      </c>
    </row>
    <row r="26" spans="1:5">
      <c r="A26" s="72">
        <v>20</v>
      </c>
      <c r="B26" s="68">
        <v>44409</v>
      </c>
      <c r="C26" s="17">
        <f>(SUMIFS('MAIN DATA, Orders'!$I:$I,'MAIN DATA, Orders'!$C:$C,"Germany",'MAIN DATA, Orders'!$N:$N,"Einzelplan 14",'MAIN DATA, Orders'!$G:$G,"Air defence system",'MAIN DATA, Orders'!$E:$E,"&lt;&gt;Cryptographic and radio device for Patriot system",'MAIN DATA, Orders'!$Q:$Q,$A26))</f>
        <v>0</v>
      </c>
      <c r="D26" s="17">
        <f>(SUMIFS('MAIN DATA, Orders'!$I:$I,'MAIN DATA, Orders'!$C:$C,"Germany",'MAIN DATA, Orders'!$N:$N,"Sondervermögen",'MAIN DATA, Orders'!$G:$G,"Air defence system",'MAIN DATA, Orders'!$E:$E,"&lt;&gt;Cryptographic and radio device for Patriot system",'MAIN DATA, Orders'!$Q:$Q,$A26))</f>
        <v>0</v>
      </c>
      <c r="E26" s="17">
        <f>(SUMIFS('MAIN DATA, Orders'!$I:$I,'MAIN DATA, Orders'!$C:$C,"Germany",'MAIN DATA, Orders'!$N:$N,"Einzelplan 60",'MAIN DATA, Orders'!$G:$G,"Air defence system",'MAIN DATA, Orders'!$E:$E,"&lt;&gt;Cryptographic and radio device for Patriot system",'MAIN DATA, Orders'!$Q:$Q,$A26))</f>
        <v>0</v>
      </c>
    </row>
    <row r="27" spans="1:5">
      <c r="A27" s="72">
        <v>21</v>
      </c>
      <c r="B27" s="68">
        <v>44440</v>
      </c>
      <c r="C27" s="17">
        <f>(SUMIFS('MAIN DATA, Orders'!$I:$I,'MAIN DATA, Orders'!$C:$C,"Germany",'MAIN DATA, Orders'!$N:$N,"Einzelplan 14",'MAIN DATA, Orders'!$G:$G,"Air defence system",'MAIN DATA, Orders'!$E:$E,"&lt;&gt;Cryptographic and radio device for Patriot system",'MAIN DATA, Orders'!$Q:$Q,$A27))</f>
        <v>0</v>
      </c>
      <c r="D27" s="17">
        <f>(SUMIFS('MAIN DATA, Orders'!$I:$I,'MAIN DATA, Orders'!$C:$C,"Germany",'MAIN DATA, Orders'!$N:$N,"Sondervermögen",'MAIN DATA, Orders'!$G:$G,"Air defence system",'MAIN DATA, Orders'!$E:$E,"&lt;&gt;Cryptographic and radio device for Patriot system",'MAIN DATA, Orders'!$Q:$Q,$A27))</f>
        <v>0</v>
      </c>
      <c r="E27" s="17">
        <f>(SUMIFS('MAIN DATA, Orders'!$I:$I,'MAIN DATA, Orders'!$C:$C,"Germany",'MAIN DATA, Orders'!$N:$N,"Einzelplan 60",'MAIN DATA, Orders'!$G:$G,"Air defence system",'MAIN DATA, Orders'!$E:$E,"&lt;&gt;Cryptographic and radio device for Patriot system",'MAIN DATA, Orders'!$Q:$Q,$A27))</f>
        <v>0</v>
      </c>
    </row>
    <row r="28" spans="1:5">
      <c r="A28" s="72">
        <v>22</v>
      </c>
      <c r="B28" s="68">
        <v>44470</v>
      </c>
      <c r="C28" s="17">
        <f>(SUMIFS('MAIN DATA, Orders'!$I:$I,'MAIN DATA, Orders'!$C:$C,"Germany",'MAIN DATA, Orders'!$N:$N,"Einzelplan 14",'MAIN DATA, Orders'!$G:$G,"Air defence system",'MAIN DATA, Orders'!$E:$E,"&lt;&gt;Cryptographic and radio device for Patriot system",'MAIN DATA, Orders'!$Q:$Q,$A28))</f>
        <v>0</v>
      </c>
      <c r="D28" s="17">
        <f>(SUMIFS('MAIN DATA, Orders'!$I:$I,'MAIN DATA, Orders'!$C:$C,"Germany",'MAIN DATA, Orders'!$N:$N,"Sondervermögen",'MAIN DATA, Orders'!$G:$G,"Air defence system",'MAIN DATA, Orders'!$E:$E,"&lt;&gt;Cryptographic and radio device for Patriot system",'MAIN DATA, Orders'!$Q:$Q,$A28))</f>
        <v>0</v>
      </c>
      <c r="E28" s="17">
        <f>(SUMIFS('MAIN DATA, Orders'!$I:$I,'MAIN DATA, Orders'!$C:$C,"Germany",'MAIN DATA, Orders'!$N:$N,"Einzelplan 60",'MAIN DATA, Orders'!$G:$G,"Air defence system",'MAIN DATA, Orders'!$E:$E,"&lt;&gt;Cryptographic and radio device for Patriot system",'MAIN DATA, Orders'!$Q:$Q,$A28))</f>
        <v>0</v>
      </c>
    </row>
    <row r="29" spans="1:5">
      <c r="A29" s="72">
        <v>23</v>
      </c>
      <c r="B29" s="68">
        <v>44501</v>
      </c>
      <c r="C29" s="17">
        <f>(SUMIFS('MAIN DATA, Orders'!$I:$I,'MAIN DATA, Orders'!$C:$C,"Germany",'MAIN DATA, Orders'!$N:$N,"Einzelplan 14",'MAIN DATA, Orders'!$G:$G,"Air defence system",'MAIN DATA, Orders'!$E:$E,"&lt;&gt;Cryptographic and radio device for Patriot system",'MAIN DATA, Orders'!$Q:$Q,$A29))</f>
        <v>0</v>
      </c>
      <c r="D29" s="17">
        <f>(SUMIFS('MAIN DATA, Orders'!$I:$I,'MAIN DATA, Orders'!$C:$C,"Germany",'MAIN DATA, Orders'!$N:$N,"Sondervermögen",'MAIN DATA, Orders'!$G:$G,"Air defence system",'MAIN DATA, Orders'!$E:$E,"&lt;&gt;Cryptographic and radio device for Patriot system",'MAIN DATA, Orders'!$Q:$Q,$A29))</f>
        <v>0</v>
      </c>
      <c r="E29" s="17">
        <f>(SUMIFS('MAIN DATA, Orders'!$I:$I,'MAIN DATA, Orders'!$C:$C,"Germany",'MAIN DATA, Orders'!$N:$N,"Einzelplan 60",'MAIN DATA, Orders'!$G:$G,"Air defence system",'MAIN DATA, Orders'!$E:$E,"&lt;&gt;Cryptographic and radio device for Patriot system",'MAIN DATA, Orders'!$Q:$Q,$A29))</f>
        <v>0</v>
      </c>
    </row>
    <row r="30" spans="1:5">
      <c r="A30" s="72">
        <v>24</v>
      </c>
      <c r="B30" s="68">
        <v>44531</v>
      </c>
      <c r="C30" s="17">
        <f>(SUMIFS('MAIN DATA, Orders'!$I:$I,'MAIN DATA, Orders'!$C:$C,"Germany",'MAIN DATA, Orders'!$N:$N,"Einzelplan 14",'MAIN DATA, Orders'!$G:$G,"Air defence system",'MAIN DATA, Orders'!$E:$E,"&lt;&gt;Cryptographic and radio device for Patriot system",'MAIN DATA, Orders'!$Q:$Q,$A30))</f>
        <v>0</v>
      </c>
      <c r="D30" s="17">
        <f>(SUMIFS('MAIN DATA, Orders'!$I:$I,'MAIN DATA, Orders'!$C:$C,"Germany",'MAIN DATA, Orders'!$N:$N,"Sondervermögen",'MAIN DATA, Orders'!$G:$G,"Air defence system",'MAIN DATA, Orders'!$E:$E,"&lt;&gt;Cryptographic and radio device for Patriot system",'MAIN DATA, Orders'!$Q:$Q,$A30))</f>
        <v>0</v>
      </c>
      <c r="E30" s="17">
        <f>(SUMIFS('MAIN DATA, Orders'!$I:$I,'MAIN DATA, Orders'!$C:$C,"Germany",'MAIN DATA, Orders'!$N:$N,"Einzelplan 60",'MAIN DATA, Orders'!$G:$G,"Air defence system",'MAIN DATA, Orders'!$E:$E,"&lt;&gt;Cryptographic and radio device for Patriot system",'MAIN DATA, Orders'!$Q:$Q,$A30))</f>
        <v>0</v>
      </c>
    </row>
    <row r="31" spans="1:5">
      <c r="A31" s="72">
        <v>25</v>
      </c>
      <c r="B31" s="68">
        <v>44562</v>
      </c>
      <c r="C31" s="17">
        <f>(SUMIFS('MAIN DATA, Orders'!$I:$I,'MAIN DATA, Orders'!$C:$C,"Germany",'MAIN DATA, Orders'!$N:$N,"Einzelplan 14",'MAIN DATA, Orders'!$G:$G,"Air defence system",'MAIN DATA, Orders'!$E:$E,"&lt;&gt;Cryptographic and radio device for Patriot system",'MAIN DATA, Orders'!$Q:$Q,$A31))</f>
        <v>0</v>
      </c>
      <c r="D31" s="17">
        <f>(SUMIFS('MAIN DATA, Orders'!$I:$I,'MAIN DATA, Orders'!$C:$C,"Germany",'MAIN DATA, Orders'!$N:$N,"Sondervermögen",'MAIN DATA, Orders'!$G:$G,"Air defence system",'MAIN DATA, Orders'!$E:$E,"&lt;&gt;Cryptographic and radio device for Patriot system",'MAIN DATA, Orders'!$Q:$Q,$A31))</f>
        <v>0</v>
      </c>
      <c r="E31" s="17">
        <f>(SUMIFS('MAIN DATA, Orders'!$I:$I,'MAIN DATA, Orders'!$C:$C,"Germany",'MAIN DATA, Orders'!$N:$N,"Einzelplan 60",'MAIN DATA, Orders'!$G:$G,"Air defence system",'MAIN DATA, Orders'!$E:$E,"&lt;&gt;Cryptographic and radio device for Patriot system",'MAIN DATA, Orders'!$Q:$Q,$A31))</f>
        <v>0</v>
      </c>
    </row>
    <row r="32" spans="1:5">
      <c r="A32" s="72">
        <v>26</v>
      </c>
      <c r="B32" s="68">
        <v>44593</v>
      </c>
      <c r="C32" s="17">
        <f>(SUMIFS('MAIN DATA, Orders'!$I:$I,'MAIN DATA, Orders'!$C:$C,"Germany",'MAIN DATA, Orders'!$N:$N,"Einzelplan 14",'MAIN DATA, Orders'!$G:$G,"Air defence system",'MAIN DATA, Orders'!$E:$E,"&lt;&gt;Cryptographic and radio device for Patriot system",'MAIN DATA, Orders'!$Q:$Q,$A32))</f>
        <v>0</v>
      </c>
      <c r="D32" s="17">
        <f>(SUMIFS('MAIN DATA, Orders'!$I:$I,'MAIN DATA, Orders'!$C:$C,"Germany",'MAIN DATA, Orders'!$N:$N,"Sondervermögen",'MAIN DATA, Orders'!$G:$G,"Air defence system",'MAIN DATA, Orders'!$E:$E,"&lt;&gt;Cryptographic and radio device for Patriot system",'MAIN DATA, Orders'!$Q:$Q,$A32))</f>
        <v>0</v>
      </c>
      <c r="E32" s="17">
        <f>(SUMIFS('MAIN DATA, Orders'!$I:$I,'MAIN DATA, Orders'!$C:$C,"Germany",'MAIN DATA, Orders'!$N:$N,"Einzelplan 60",'MAIN DATA, Orders'!$G:$G,"Air defence system",'MAIN DATA, Orders'!$E:$E,"&lt;&gt;Cryptographic and radio device for Patriot system",'MAIN DATA, Orders'!$Q:$Q,$A32))</f>
        <v>0</v>
      </c>
    </row>
    <row r="33" spans="1:5">
      <c r="A33" s="72">
        <v>27</v>
      </c>
      <c r="B33" s="68">
        <v>44621</v>
      </c>
      <c r="C33" s="17">
        <f>(SUMIFS('MAIN DATA, Orders'!$I:$I,'MAIN DATA, Orders'!$C:$C,"Germany",'MAIN DATA, Orders'!$N:$N,"Einzelplan 14",'MAIN DATA, Orders'!$G:$G,"Air defence system",'MAIN DATA, Orders'!$E:$E,"&lt;&gt;Cryptographic and radio device for Patriot system",'MAIN DATA, Orders'!$Q:$Q,$A33))</f>
        <v>0</v>
      </c>
      <c r="D33" s="17">
        <f>(SUMIFS('MAIN DATA, Orders'!$I:$I,'MAIN DATA, Orders'!$C:$C,"Germany",'MAIN DATA, Orders'!$N:$N,"Sondervermögen",'MAIN DATA, Orders'!$G:$G,"Air defence system",'MAIN DATA, Orders'!$E:$E,"&lt;&gt;Cryptographic and radio device for Patriot system",'MAIN DATA, Orders'!$Q:$Q,$A33))</f>
        <v>0</v>
      </c>
      <c r="E33" s="17">
        <f>(SUMIFS('MAIN DATA, Orders'!$I:$I,'MAIN DATA, Orders'!$C:$C,"Germany",'MAIN DATA, Orders'!$N:$N,"Einzelplan 60",'MAIN DATA, Orders'!$G:$G,"Air defence system",'MAIN DATA, Orders'!$E:$E,"&lt;&gt;Cryptographic and radio device for Patriot system",'MAIN DATA, Orders'!$Q:$Q,$A33))</f>
        <v>0</v>
      </c>
    </row>
    <row r="34" spans="1:5">
      <c r="A34" s="72">
        <v>28</v>
      </c>
      <c r="B34" s="68">
        <v>44652</v>
      </c>
      <c r="C34" s="17">
        <f>(SUMIFS('MAIN DATA, Orders'!$I:$I,'MAIN DATA, Orders'!$C:$C,"Germany",'MAIN DATA, Orders'!$N:$N,"Einzelplan 14",'MAIN DATA, Orders'!$G:$G,"Air defence system",'MAIN DATA, Orders'!$E:$E,"&lt;&gt;Cryptographic and radio device for Patriot system",'MAIN DATA, Orders'!$Q:$Q,$A34))</f>
        <v>0</v>
      </c>
      <c r="D34" s="17">
        <f>(SUMIFS('MAIN DATA, Orders'!$I:$I,'MAIN DATA, Orders'!$C:$C,"Germany",'MAIN DATA, Orders'!$N:$N,"Sondervermögen",'MAIN DATA, Orders'!$G:$G,"Air defence system",'MAIN DATA, Orders'!$E:$E,"&lt;&gt;Cryptographic and radio device for Patriot system",'MAIN DATA, Orders'!$Q:$Q,$A34))</f>
        <v>0</v>
      </c>
      <c r="E34" s="17">
        <f>(SUMIFS('MAIN DATA, Orders'!$I:$I,'MAIN DATA, Orders'!$C:$C,"Germany",'MAIN DATA, Orders'!$N:$N,"Einzelplan 60",'MAIN DATA, Orders'!$G:$G,"Air defence system",'MAIN DATA, Orders'!$E:$E,"&lt;&gt;Cryptographic and radio device for Patriot system",'MAIN DATA, Orders'!$Q:$Q,$A34))</f>
        <v>0</v>
      </c>
    </row>
    <row r="35" spans="1:5">
      <c r="A35" s="72">
        <v>29</v>
      </c>
      <c r="B35" s="68">
        <v>44682</v>
      </c>
      <c r="C35" s="17">
        <f>(SUMIFS('MAIN DATA, Orders'!$I:$I,'MAIN DATA, Orders'!$C:$C,"Germany",'MAIN DATA, Orders'!$N:$N,"Einzelplan 14",'MAIN DATA, Orders'!$G:$G,"Air defence system",'MAIN DATA, Orders'!$E:$E,"&lt;&gt;Cryptographic and radio device for Patriot system",'MAIN DATA, Orders'!$Q:$Q,$A35))</f>
        <v>0</v>
      </c>
      <c r="D35" s="17">
        <f>(SUMIFS('MAIN DATA, Orders'!$I:$I,'MAIN DATA, Orders'!$C:$C,"Germany",'MAIN DATA, Orders'!$N:$N,"Sondervermögen",'MAIN DATA, Orders'!$G:$G,"Air defence system",'MAIN DATA, Orders'!$E:$E,"&lt;&gt;Cryptographic and radio device for Patriot system",'MAIN DATA, Orders'!$Q:$Q,$A35))</f>
        <v>0</v>
      </c>
      <c r="E35" s="17">
        <f>(SUMIFS('MAIN DATA, Orders'!$I:$I,'MAIN DATA, Orders'!$C:$C,"Germany",'MAIN DATA, Orders'!$N:$N,"Einzelplan 60",'MAIN DATA, Orders'!$G:$G,"Air defence system",'MAIN DATA, Orders'!$E:$E,"&lt;&gt;Cryptographic and radio device for Patriot system",'MAIN DATA, Orders'!$Q:$Q,$A35))</f>
        <v>0</v>
      </c>
    </row>
    <row r="36" spans="1:5">
      <c r="A36" s="72">
        <v>30</v>
      </c>
      <c r="B36" s="68">
        <v>44713</v>
      </c>
      <c r="C36" s="17">
        <f>(SUMIFS('MAIN DATA, Orders'!$I:$I,'MAIN DATA, Orders'!$C:$C,"Germany",'MAIN DATA, Orders'!$N:$N,"Einzelplan 14",'MAIN DATA, Orders'!$G:$G,"Air defence system",'MAIN DATA, Orders'!$E:$E,"&lt;&gt;Cryptographic and radio device for Patriot system",'MAIN DATA, Orders'!$Q:$Q,$A36))</f>
        <v>0</v>
      </c>
      <c r="D36" s="17">
        <f>(SUMIFS('MAIN DATA, Orders'!$I:$I,'MAIN DATA, Orders'!$C:$C,"Germany",'MAIN DATA, Orders'!$N:$N,"Sondervermögen",'MAIN DATA, Orders'!$G:$G,"Air defence system",'MAIN DATA, Orders'!$E:$E,"&lt;&gt;Cryptographic and radio device for Patriot system",'MAIN DATA, Orders'!$Q:$Q,$A36))</f>
        <v>0</v>
      </c>
      <c r="E36" s="17">
        <f>(SUMIFS('MAIN DATA, Orders'!$I:$I,'MAIN DATA, Orders'!$C:$C,"Germany",'MAIN DATA, Orders'!$N:$N,"Einzelplan 60",'MAIN DATA, Orders'!$G:$G,"Air defence system",'MAIN DATA, Orders'!$E:$E,"&lt;&gt;Cryptographic and radio device for Patriot system",'MAIN DATA, Orders'!$Q:$Q,$A36))</f>
        <v>0</v>
      </c>
    </row>
    <row r="37" spans="1:5">
      <c r="A37" s="72">
        <v>31</v>
      </c>
      <c r="B37" s="68">
        <v>44743</v>
      </c>
      <c r="C37" s="17">
        <f>(SUMIFS('MAIN DATA, Orders'!$I:$I,'MAIN DATA, Orders'!$C:$C,"Germany",'MAIN DATA, Orders'!$N:$N,"Einzelplan 14",'MAIN DATA, Orders'!$G:$G,"Air defence system",'MAIN DATA, Orders'!$E:$E,"&lt;&gt;Cryptographic and radio device for Patriot system",'MAIN DATA, Orders'!$Q:$Q,$A37))</f>
        <v>0</v>
      </c>
      <c r="D37" s="17">
        <f>(SUMIFS('MAIN DATA, Orders'!$I:$I,'MAIN DATA, Orders'!$C:$C,"Germany",'MAIN DATA, Orders'!$N:$N,"Sondervermögen",'MAIN DATA, Orders'!$G:$G,"Air defence system",'MAIN DATA, Orders'!$E:$E,"&lt;&gt;Cryptographic and radio device for Patriot system",'MAIN DATA, Orders'!$Q:$Q,$A37))</f>
        <v>0</v>
      </c>
      <c r="E37" s="17">
        <f>(SUMIFS('MAIN DATA, Orders'!$I:$I,'MAIN DATA, Orders'!$C:$C,"Germany",'MAIN DATA, Orders'!$N:$N,"Einzelplan 60",'MAIN DATA, Orders'!$G:$G,"Air defence system",'MAIN DATA, Orders'!$E:$E,"&lt;&gt;Cryptographic and radio device for Patriot system",'MAIN DATA, Orders'!$Q:$Q,$A37))</f>
        <v>0</v>
      </c>
    </row>
    <row r="38" spans="1:5">
      <c r="A38" s="72">
        <v>32</v>
      </c>
      <c r="B38" s="68">
        <v>44774</v>
      </c>
      <c r="C38" s="17">
        <f>(SUMIFS('MAIN DATA, Orders'!$I:$I,'MAIN DATA, Orders'!$C:$C,"Germany",'MAIN DATA, Orders'!$N:$N,"Einzelplan 14",'MAIN DATA, Orders'!$G:$G,"Air defence system",'MAIN DATA, Orders'!$E:$E,"&lt;&gt;Cryptographic and radio device for Patriot system",'MAIN DATA, Orders'!$Q:$Q,$A38))</f>
        <v>0</v>
      </c>
      <c r="D38" s="17">
        <f>(SUMIFS('MAIN DATA, Orders'!$I:$I,'MAIN DATA, Orders'!$C:$C,"Germany",'MAIN DATA, Orders'!$N:$N,"Sondervermögen",'MAIN DATA, Orders'!$G:$G,"Air defence system",'MAIN DATA, Orders'!$E:$E,"&lt;&gt;Cryptographic and radio device for Patriot system",'MAIN DATA, Orders'!$Q:$Q,$A38))</f>
        <v>0</v>
      </c>
      <c r="E38" s="17">
        <f>(SUMIFS('MAIN DATA, Orders'!$I:$I,'MAIN DATA, Orders'!$C:$C,"Germany",'MAIN DATA, Orders'!$N:$N,"Einzelplan 60",'MAIN DATA, Orders'!$G:$G,"Air defence system",'MAIN DATA, Orders'!$E:$E,"&lt;&gt;Cryptographic and radio device for Patriot system",'MAIN DATA, Orders'!$Q:$Q,$A38))</f>
        <v>0</v>
      </c>
    </row>
    <row r="39" spans="1:5">
      <c r="A39" s="72">
        <v>33</v>
      </c>
      <c r="B39" s="68">
        <v>44805</v>
      </c>
      <c r="C39" s="17">
        <f>(SUMIFS('MAIN DATA, Orders'!$I:$I,'MAIN DATA, Orders'!$C:$C,"Germany",'MAIN DATA, Orders'!$N:$N,"Einzelplan 14",'MAIN DATA, Orders'!$G:$G,"Air defence system",'MAIN DATA, Orders'!$E:$E,"&lt;&gt;Cryptographic and radio device for Patriot system",'MAIN DATA, Orders'!$Q:$Q,$A39))</f>
        <v>0</v>
      </c>
      <c r="D39" s="17">
        <f>(SUMIFS('MAIN DATA, Orders'!$I:$I,'MAIN DATA, Orders'!$C:$C,"Germany",'MAIN DATA, Orders'!$N:$N,"Sondervermögen",'MAIN DATA, Orders'!$G:$G,"Air defence system",'MAIN DATA, Orders'!$E:$E,"&lt;&gt;Cryptographic and radio device for Patriot system",'MAIN DATA, Orders'!$Q:$Q,$A39))</f>
        <v>0</v>
      </c>
      <c r="E39" s="17">
        <f>(SUMIFS('MAIN DATA, Orders'!$I:$I,'MAIN DATA, Orders'!$C:$C,"Germany",'MAIN DATA, Orders'!$N:$N,"Einzelplan 60",'MAIN DATA, Orders'!$G:$G,"Air defence system",'MAIN DATA, Orders'!$E:$E,"&lt;&gt;Cryptographic and radio device for Patriot system",'MAIN DATA, Orders'!$Q:$Q,$A39))</f>
        <v>0</v>
      </c>
    </row>
    <row r="40" spans="1:5">
      <c r="A40" s="72">
        <v>34</v>
      </c>
      <c r="B40" s="68">
        <v>44835</v>
      </c>
      <c r="C40" s="17">
        <f>(SUMIFS('MAIN DATA, Orders'!$I:$I,'MAIN DATA, Orders'!$C:$C,"Germany",'MAIN DATA, Orders'!$N:$N,"Einzelplan 14",'MAIN DATA, Orders'!$G:$G,"Air defence system",'MAIN DATA, Orders'!$E:$E,"&lt;&gt;Cryptographic and radio device for Patriot system",'MAIN DATA, Orders'!$Q:$Q,$A40))</f>
        <v>0</v>
      </c>
      <c r="D40" s="17">
        <f>(SUMIFS('MAIN DATA, Orders'!$I:$I,'MAIN DATA, Orders'!$C:$C,"Germany",'MAIN DATA, Orders'!$N:$N,"Sondervermögen",'MAIN DATA, Orders'!$G:$G,"Air defence system",'MAIN DATA, Orders'!$E:$E,"&lt;&gt;Cryptographic and radio device for Patriot system",'MAIN DATA, Orders'!$Q:$Q,$A40))</f>
        <v>0</v>
      </c>
      <c r="E40" s="17">
        <f>(SUMIFS('MAIN DATA, Orders'!$I:$I,'MAIN DATA, Orders'!$C:$C,"Germany",'MAIN DATA, Orders'!$N:$N,"Einzelplan 60",'MAIN DATA, Orders'!$G:$G,"Air defence system",'MAIN DATA, Orders'!$E:$E,"&lt;&gt;Cryptographic and radio device for Patriot system",'MAIN DATA, Orders'!$Q:$Q,$A40))</f>
        <v>0</v>
      </c>
    </row>
    <row r="41" spans="1:5">
      <c r="A41" s="72">
        <v>35</v>
      </c>
      <c r="B41" s="68">
        <v>44866</v>
      </c>
      <c r="C41" s="17">
        <f>(SUMIFS('MAIN DATA, Orders'!$I:$I,'MAIN DATA, Orders'!$C:$C,"Germany",'MAIN DATA, Orders'!$N:$N,"Einzelplan 14",'MAIN DATA, Orders'!$G:$G,"Air defence system",'MAIN DATA, Orders'!$E:$E,"&lt;&gt;Cryptographic and radio device for Patriot system",'MAIN DATA, Orders'!$Q:$Q,$A41))</f>
        <v>0</v>
      </c>
      <c r="D41" s="17">
        <f>(SUMIFS('MAIN DATA, Orders'!$I:$I,'MAIN DATA, Orders'!$C:$C,"Germany",'MAIN DATA, Orders'!$N:$N,"Sondervermögen",'MAIN DATA, Orders'!$G:$G,"Air defence system",'MAIN DATA, Orders'!$E:$E,"&lt;&gt;Cryptographic and radio device for Patriot system",'MAIN DATA, Orders'!$Q:$Q,$A41))</f>
        <v>0</v>
      </c>
      <c r="E41" s="17">
        <f>(SUMIFS('MAIN DATA, Orders'!$I:$I,'MAIN DATA, Orders'!$C:$C,"Germany",'MAIN DATA, Orders'!$N:$N,"Einzelplan 60",'MAIN DATA, Orders'!$G:$G,"Air defence system",'MAIN DATA, Orders'!$E:$E,"&lt;&gt;Cryptographic and radio device for Patriot system",'MAIN DATA, Orders'!$Q:$Q,$A41))</f>
        <v>0</v>
      </c>
    </row>
    <row r="42" spans="1:5">
      <c r="A42" s="72">
        <v>36</v>
      </c>
      <c r="B42" s="68">
        <v>44896</v>
      </c>
      <c r="C42" s="17">
        <f>(SUMIFS('MAIN DATA, Orders'!$I:$I,'MAIN DATA, Orders'!$C:$C,"Germany",'MAIN DATA, Orders'!$N:$N,"Einzelplan 14",'MAIN DATA, Orders'!$G:$G,"Air defence system",'MAIN DATA, Orders'!$E:$E,"&lt;&gt;Cryptographic and radio device for Patriot system",'MAIN DATA, Orders'!$Q:$Q,$A42))</f>
        <v>0</v>
      </c>
      <c r="D42" s="17">
        <f>(SUMIFS('MAIN DATA, Orders'!$I:$I,'MAIN DATA, Orders'!$C:$C,"Germany",'MAIN DATA, Orders'!$N:$N,"Sondervermögen",'MAIN DATA, Orders'!$G:$G,"Air defence system",'MAIN DATA, Orders'!$E:$E,"&lt;&gt;Cryptographic and radio device for Patriot system",'MAIN DATA, Orders'!$Q:$Q,$A42))</f>
        <v>0</v>
      </c>
      <c r="E42" s="17">
        <f>(SUMIFS('MAIN DATA, Orders'!$I:$I,'MAIN DATA, Orders'!$C:$C,"Germany",'MAIN DATA, Orders'!$N:$N,"Einzelplan 60",'MAIN DATA, Orders'!$G:$G,"Air defence system",'MAIN DATA, Orders'!$E:$E,"&lt;&gt;Cryptographic and radio device for Patriot system",'MAIN DATA, Orders'!$Q:$Q,$A42))</f>
        <v>0</v>
      </c>
    </row>
    <row r="43" spans="1:5">
      <c r="A43" s="72">
        <v>37</v>
      </c>
      <c r="B43" s="68">
        <v>44927</v>
      </c>
      <c r="C43" s="17">
        <f>(SUMIFS('MAIN DATA, Orders'!$I:$I,'MAIN DATA, Orders'!$C:$C,"Germany",'MAIN DATA, Orders'!$N:$N,"Einzelplan 14",'MAIN DATA, Orders'!$G:$G,"Air defence system",'MAIN DATA, Orders'!$E:$E,"&lt;&gt;Cryptographic and radio device for Patriot system",'MAIN DATA, Orders'!$Q:$Q,$A43))</f>
        <v>0</v>
      </c>
      <c r="D43" s="17">
        <f>(SUMIFS('MAIN DATA, Orders'!$I:$I,'MAIN DATA, Orders'!$C:$C,"Germany",'MAIN DATA, Orders'!$N:$N,"Sondervermögen",'MAIN DATA, Orders'!$G:$G,"Air defence system",'MAIN DATA, Orders'!$E:$E,"&lt;&gt;Cryptographic and radio device for Patriot system",'MAIN DATA, Orders'!$Q:$Q,$A43))</f>
        <v>0</v>
      </c>
      <c r="E43" s="17">
        <f>(SUMIFS('MAIN DATA, Orders'!$I:$I,'MAIN DATA, Orders'!$C:$C,"Germany",'MAIN DATA, Orders'!$N:$N,"Einzelplan 60",'MAIN DATA, Orders'!$G:$G,"Air defence system",'MAIN DATA, Orders'!$E:$E,"&lt;&gt;Cryptographic and radio device for Patriot system",'MAIN DATA, Orders'!$Q:$Q,$A43))</f>
        <v>0</v>
      </c>
    </row>
    <row r="44" spans="1:5">
      <c r="A44" s="72">
        <v>38</v>
      </c>
      <c r="B44" s="68">
        <v>44958</v>
      </c>
      <c r="C44" s="17">
        <f>(SUMIFS('MAIN DATA, Orders'!$I:$I,'MAIN DATA, Orders'!$C:$C,"Germany",'MAIN DATA, Orders'!$N:$N,"Einzelplan 14",'MAIN DATA, Orders'!$G:$G,"Air defence system",'MAIN DATA, Orders'!$E:$E,"&lt;&gt;Cryptographic and radio device for Patriot system",'MAIN DATA, Orders'!$Q:$Q,$A44))</f>
        <v>0</v>
      </c>
      <c r="D44" s="17">
        <f>(SUMIFS('MAIN DATA, Orders'!$I:$I,'MAIN DATA, Orders'!$C:$C,"Germany",'MAIN DATA, Orders'!$N:$N,"Sondervermögen",'MAIN DATA, Orders'!$G:$G,"Air defence system",'MAIN DATA, Orders'!$E:$E,"&lt;&gt;Cryptographic and radio device for Patriot system",'MAIN DATA, Orders'!$Q:$Q,$A44))</f>
        <v>0</v>
      </c>
      <c r="E44" s="17">
        <f>(SUMIFS('MAIN DATA, Orders'!$I:$I,'MAIN DATA, Orders'!$C:$C,"Germany",'MAIN DATA, Orders'!$N:$N,"Einzelplan 60",'MAIN DATA, Orders'!$G:$G,"Air defence system",'MAIN DATA, Orders'!$E:$E,"&lt;&gt;Cryptographic and radio device for Patriot system",'MAIN DATA, Orders'!$Q:$Q,$A44))</f>
        <v>0</v>
      </c>
    </row>
    <row r="45" spans="1:5">
      <c r="A45" s="72">
        <v>39</v>
      </c>
      <c r="B45" s="68">
        <v>44986</v>
      </c>
      <c r="C45" s="17">
        <f>(SUMIFS('MAIN DATA, Orders'!$I:$I,'MAIN DATA, Orders'!$C:$C,"Germany",'MAIN DATA, Orders'!$N:$N,"Einzelplan 14",'MAIN DATA, Orders'!$G:$G,"Air defence system",'MAIN DATA, Orders'!$E:$E,"&lt;&gt;Cryptographic and radio device for Patriot system",'MAIN DATA, Orders'!$Q:$Q,$A45))</f>
        <v>0</v>
      </c>
      <c r="D45" s="17">
        <f>(SUMIFS('MAIN DATA, Orders'!$I:$I,'MAIN DATA, Orders'!$C:$C,"Germany",'MAIN DATA, Orders'!$N:$N,"Sondervermögen",'MAIN DATA, Orders'!$G:$G,"Air defence system",'MAIN DATA, Orders'!$E:$E,"&lt;&gt;Cryptographic and radio device for Patriot system",'MAIN DATA, Orders'!$Q:$Q,$A45))</f>
        <v>0</v>
      </c>
      <c r="E45" s="17">
        <f>(SUMIFS('MAIN DATA, Orders'!$I:$I,'MAIN DATA, Orders'!$C:$C,"Germany",'MAIN DATA, Orders'!$N:$N,"Einzelplan 60",'MAIN DATA, Orders'!$G:$G,"Air defence system",'MAIN DATA, Orders'!$E:$E,"&lt;&gt;Cryptographic and radio device for Patriot system",'MAIN DATA, Orders'!$Q:$Q,$A45))</f>
        <v>0</v>
      </c>
    </row>
    <row r="46" spans="1:5">
      <c r="A46" s="72">
        <v>40</v>
      </c>
      <c r="B46" s="68">
        <v>45017</v>
      </c>
      <c r="C46" s="17">
        <f>(SUMIFS('MAIN DATA, Orders'!$I:$I,'MAIN DATA, Orders'!$C:$C,"Germany",'MAIN DATA, Orders'!$N:$N,"Einzelplan 14",'MAIN DATA, Orders'!$G:$G,"Air defence system",'MAIN DATA, Orders'!$E:$E,"&lt;&gt;Cryptographic and radio device for Patriot system",'MAIN DATA, Orders'!$Q:$Q,$A46))</f>
        <v>0</v>
      </c>
      <c r="D46" s="17">
        <f>(SUMIFS('MAIN DATA, Orders'!$I:$I,'MAIN DATA, Orders'!$C:$C,"Germany",'MAIN DATA, Orders'!$N:$N,"Sondervermögen",'MAIN DATA, Orders'!$G:$G,"Air defence system",'MAIN DATA, Orders'!$E:$E,"&lt;&gt;Cryptographic and radio device for Patriot system",'MAIN DATA, Orders'!$Q:$Q,$A46))</f>
        <v>0</v>
      </c>
      <c r="E46" s="17">
        <f>(SUMIFS('MAIN DATA, Orders'!$I:$I,'MAIN DATA, Orders'!$C:$C,"Germany",'MAIN DATA, Orders'!$N:$N,"Einzelplan 60",'MAIN DATA, Orders'!$G:$G,"Air defence system",'MAIN DATA, Orders'!$E:$E,"&lt;&gt;Cryptographic and radio device for Patriot system",'MAIN DATA, Orders'!$Q:$Q,$A46))</f>
        <v>0</v>
      </c>
    </row>
    <row r="47" spans="1:5">
      <c r="A47" s="72">
        <v>41</v>
      </c>
      <c r="B47" s="68">
        <v>45047</v>
      </c>
      <c r="C47" s="17">
        <f>(SUMIFS('MAIN DATA, Orders'!$I:$I,'MAIN DATA, Orders'!$C:$C,"Germany",'MAIN DATA, Orders'!$N:$N,"Einzelplan 14",'MAIN DATA, Orders'!$G:$G,"Air defence system",'MAIN DATA, Orders'!$E:$E,"&lt;&gt;Cryptographic and radio device for Patriot system",'MAIN DATA, Orders'!$Q:$Q,$A47))</f>
        <v>0</v>
      </c>
      <c r="D47" s="17">
        <f>(SUMIFS('MAIN DATA, Orders'!$I:$I,'MAIN DATA, Orders'!$C:$C,"Germany",'MAIN DATA, Orders'!$N:$N,"Sondervermögen",'MAIN DATA, Orders'!$G:$G,"Air defence system",'MAIN DATA, Orders'!$E:$E,"&lt;&gt;Cryptographic and radio device for Patriot system",'MAIN DATA, Orders'!$Q:$Q,$A47))</f>
        <v>0</v>
      </c>
      <c r="E47" s="17">
        <f>(SUMIFS('MAIN DATA, Orders'!$I:$I,'MAIN DATA, Orders'!$C:$C,"Germany",'MAIN DATA, Orders'!$N:$N,"Einzelplan 60",'MAIN DATA, Orders'!$G:$G,"Air defence system",'MAIN DATA, Orders'!$E:$E,"&lt;&gt;Cryptographic and radio device for Patriot system",'MAIN DATA, Orders'!$Q:$Q,$A47))</f>
        <v>0</v>
      </c>
    </row>
    <row r="48" spans="1:5">
      <c r="A48" s="72">
        <v>42</v>
      </c>
      <c r="B48" s="68">
        <v>45078</v>
      </c>
      <c r="C48" s="17">
        <f>(SUMIFS('MAIN DATA, Orders'!$I:$I,'MAIN DATA, Orders'!$C:$C,"Germany",'MAIN DATA, Orders'!$N:$N,"Einzelplan 14",'MAIN DATA, Orders'!$G:$G,"Air defence system",'MAIN DATA, Orders'!$E:$E,"&lt;&gt;Cryptographic and radio device for Patriot system",'MAIN DATA, Orders'!$Q:$Q,$A48))</f>
        <v>0</v>
      </c>
      <c r="D48" s="17">
        <f>(SUMIFS('MAIN DATA, Orders'!$I:$I,'MAIN DATA, Orders'!$C:$C,"Germany",'MAIN DATA, Orders'!$N:$N,"Sondervermögen",'MAIN DATA, Orders'!$G:$G,"Air defence system",'MAIN DATA, Orders'!$E:$E,"&lt;&gt;Cryptographic and radio device for Patriot system",'MAIN DATA, Orders'!$Q:$Q,$A48))</f>
        <v>6</v>
      </c>
      <c r="E48" s="17">
        <f>(SUMIFS('MAIN DATA, Orders'!$I:$I,'MAIN DATA, Orders'!$C:$C,"Germany",'MAIN DATA, Orders'!$N:$N,"Einzelplan 60",'MAIN DATA, Orders'!$G:$G,"Air defence system",'MAIN DATA, Orders'!$E:$E,"&lt;&gt;Cryptographic and radio device for Patriot system",'MAIN DATA, Orders'!$Q:$Q,$A48))</f>
        <v>0</v>
      </c>
    </row>
    <row r="49" spans="1:5">
      <c r="A49" s="72">
        <v>43</v>
      </c>
      <c r="B49" s="68">
        <v>45108</v>
      </c>
      <c r="C49" s="17">
        <f>(SUMIFS('MAIN DATA, Orders'!$I:$I,'MAIN DATA, Orders'!$C:$C,"Germany",'MAIN DATA, Orders'!$N:$N,"Einzelplan 14",'MAIN DATA, Orders'!$G:$G,"Air defence system",'MAIN DATA, Orders'!$E:$E,"&lt;&gt;Cryptographic and radio device for Patriot system",'MAIN DATA, Orders'!$Q:$Q,$A49))</f>
        <v>0</v>
      </c>
      <c r="D49" s="17">
        <f>(SUMIFS('MAIN DATA, Orders'!$I:$I,'MAIN DATA, Orders'!$C:$C,"Germany",'MAIN DATA, Orders'!$N:$N,"Sondervermögen",'MAIN DATA, Orders'!$G:$G,"Air defence system",'MAIN DATA, Orders'!$E:$E,"&lt;&gt;Cryptographic and radio device for Patriot system",'MAIN DATA, Orders'!$Q:$Q,$A49))</f>
        <v>0</v>
      </c>
      <c r="E49" s="17">
        <f>(SUMIFS('MAIN DATA, Orders'!$I:$I,'MAIN DATA, Orders'!$C:$C,"Germany",'MAIN DATA, Orders'!$N:$N,"Einzelplan 60",'MAIN DATA, Orders'!$G:$G,"Air defence system",'MAIN DATA, Orders'!$E:$E,"&lt;&gt;Cryptographic and radio device for Patriot system",'MAIN DATA, Orders'!$Q:$Q,$A49))</f>
        <v>0</v>
      </c>
    </row>
    <row r="50" spans="1:5">
      <c r="A50" s="72">
        <v>44</v>
      </c>
      <c r="B50" s="68">
        <v>45139</v>
      </c>
      <c r="C50" s="17">
        <f>(SUMIFS('MAIN DATA, Orders'!$I:$I,'MAIN DATA, Orders'!$C:$C,"Germany",'MAIN DATA, Orders'!$N:$N,"Einzelplan 14",'MAIN DATA, Orders'!$G:$G,"Air defence system",'MAIN DATA, Orders'!$E:$E,"&lt;&gt;Cryptographic and radio device for Patriot system",'MAIN DATA, Orders'!$Q:$Q,$A50))</f>
        <v>0</v>
      </c>
      <c r="D50" s="17">
        <f>(SUMIFS('MAIN DATA, Orders'!$I:$I,'MAIN DATA, Orders'!$C:$C,"Germany",'MAIN DATA, Orders'!$N:$N,"Sondervermögen",'MAIN DATA, Orders'!$G:$G,"Air defence system",'MAIN DATA, Orders'!$E:$E,"&lt;&gt;Cryptographic and radio device for Patriot system",'MAIN DATA, Orders'!$Q:$Q,$A50))</f>
        <v>0</v>
      </c>
      <c r="E50" s="17">
        <f>(SUMIFS('MAIN DATA, Orders'!$I:$I,'MAIN DATA, Orders'!$C:$C,"Germany",'MAIN DATA, Orders'!$N:$N,"Einzelplan 60",'MAIN DATA, Orders'!$G:$G,"Air defence system",'MAIN DATA, Orders'!$E:$E,"&lt;&gt;Cryptographic and radio device for Patriot system",'MAIN DATA, Orders'!$Q:$Q,$A50))</f>
        <v>0</v>
      </c>
    </row>
    <row r="51" spans="1:5">
      <c r="A51" s="72">
        <v>45</v>
      </c>
      <c r="B51" s="68">
        <v>45170</v>
      </c>
      <c r="C51" s="17">
        <f>(SUMIFS('MAIN DATA, Orders'!$I:$I,'MAIN DATA, Orders'!$C:$C,"Germany",'MAIN DATA, Orders'!$N:$N,"Einzelplan 14",'MAIN DATA, Orders'!$G:$G,"Air defence system",'MAIN DATA, Orders'!$E:$E,"&lt;&gt;Cryptographic and radio device for Patriot system",'MAIN DATA, Orders'!$Q:$Q,$A51))</f>
        <v>0</v>
      </c>
      <c r="D51" s="17">
        <f>(SUMIFS('MAIN DATA, Orders'!$I:$I,'MAIN DATA, Orders'!$C:$C,"Germany",'MAIN DATA, Orders'!$N:$N,"Sondervermögen",'MAIN DATA, Orders'!$G:$G,"Air defence system",'MAIN DATA, Orders'!$E:$E,"&lt;&gt;Cryptographic and radio device for Patriot system",'MAIN DATA, Orders'!$Q:$Q,$A51))</f>
        <v>0</v>
      </c>
      <c r="E51" s="17">
        <f>(SUMIFS('MAIN DATA, Orders'!$I:$I,'MAIN DATA, Orders'!$C:$C,"Germany",'MAIN DATA, Orders'!$N:$N,"Einzelplan 60",'MAIN DATA, Orders'!$G:$G,"Air defence system",'MAIN DATA, Orders'!$E:$E,"&lt;&gt;Cryptographic and radio device for Patriot system",'MAIN DATA, Orders'!$Q:$Q,$A51))</f>
        <v>0</v>
      </c>
    </row>
    <row r="52" spans="1:5">
      <c r="A52" s="72">
        <v>46</v>
      </c>
      <c r="B52" s="68">
        <v>45200</v>
      </c>
      <c r="C52" s="17">
        <f>(SUMIFS('MAIN DATA, Orders'!$I:$I,'MAIN DATA, Orders'!$C:$C,"Germany",'MAIN DATA, Orders'!$N:$N,"Einzelplan 14",'MAIN DATA, Orders'!$G:$G,"Air defence system",'MAIN DATA, Orders'!$E:$E,"&lt;&gt;Cryptographic and radio device for Patriot system",'MAIN DATA, Orders'!$Q:$Q,$A52))</f>
        <v>0</v>
      </c>
      <c r="D52" s="17">
        <f>(SUMIFS('MAIN DATA, Orders'!$I:$I,'MAIN DATA, Orders'!$C:$C,"Germany",'MAIN DATA, Orders'!$N:$N,"Sondervermögen",'MAIN DATA, Orders'!$G:$G,"Air defence system",'MAIN DATA, Orders'!$E:$E,"&lt;&gt;Cryptographic and radio device for Patriot system",'MAIN DATA, Orders'!$Q:$Q,$A52))</f>
        <v>1</v>
      </c>
      <c r="E52" s="17">
        <f>(SUMIFS('MAIN DATA, Orders'!$I:$I,'MAIN DATA, Orders'!$C:$C,"Germany",'MAIN DATA, Orders'!$N:$N,"Einzelplan 60",'MAIN DATA, Orders'!$G:$G,"Air defence system",'MAIN DATA, Orders'!$E:$E,"&lt;&gt;Cryptographic and radio device for Patriot system",'MAIN DATA, Orders'!$Q:$Q,$A52))</f>
        <v>0</v>
      </c>
    </row>
    <row r="53" spans="1:5">
      <c r="A53" s="72">
        <v>47</v>
      </c>
      <c r="B53" s="68">
        <v>45231</v>
      </c>
      <c r="C53" s="17">
        <f>(SUMIFS('MAIN DATA, Orders'!$I:$I,'MAIN DATA, Orders'!$C:$C,"Germany",'MAIN DATA, Orders'!$N:$N,"Einzelplan 14",'MAIN DATA, Orders'!$G:$G,"Air defence system",'MAIN DATA, Orders'!$E:$E,"&lt;&gt;Cryptographic and radio device for Patriot system",'MAIN DATA, Orders'!$Q:$Q,$A53))</f>
        <v>0</v>
      </c>
      <c r="D53" s="17">
        <f>(SUMIFS('MAIN DATA, Orders'!$I:$I,'MAIN DATA, Orders'!$C:$C,"Germany",'MAIN DATA, Orders'!$N:$N,"Sondervermögen",'MAIN DATA, Orders'!$G:$G,"Air defence system",'MAIN DATA, Orders'!$E:$E,"&lt;&gt;Cryptographic and radio device for Patriot system",'MAIN DATA, Orders'!$Q:$Q,$A53))</f>
        <v>0</v>
      </c>
      <c r="E53" s="17">
        <f>(SUMIFS('MAIN DATA, Orders'!$I:$I,'MAIN DATA, Orders'!$C:$C,"Germany",'MAIN DATA, Orders'!$N:$N,"Einzelplan 60",'MAIN DATA, Orders'!$G:$G,"Air defence system",'MAIN DATA, Orders'!$E:$E,"&lt;&gt;Cryptographic and radio device for Patriot system",'MAIN DATA, Orders'!$Q:$Q,$A53))</f>
        <v>0</v>
      </c>
    </row>
    <row r="54" spans="1:5">
      <c r="A54" s="72">
        <v>48</v>
      </c>
      <c r="B54" s="68">
        <v>45261</v>
      </c>
      <c r="C54" s="17">
        <f>(SUMIFS('MAIN DATA, Orders'!$I:$I,'MAIN DATA, Orders'!$C:$C,"Germany",'MAIN DATA, Orders'!$N:$N,"Einzelplan 14",'MAIN DATA, Orders'!$G:$G,"Air defence system",'MAIN DATA, Orders'!$E:$E,"&lt;&gt;Cryptographic and radio device for Patriot system",'MAIN DATA, Orders'!$Q:$Q,$A54))</f>
        <v>0</v>
      </c>
      <c r="D54" s="17">
        <f>(SUMIFS('MAIN DATA, Orders'!$I:$I,'MAIN DATA, Orders'!$C:$C,"Germany",'MAIN DATA, Orders'!$N:$N,"Sondervermögen",'MAIN DATA, Orders'!$G:$G,"Air defence system",'MAIN DATA, Orders'!$E:$E,"&lt;&gt;Cryptographic and radio device for Patriot system",'MAIN DATA, Orders'!$Q:$Q,$A54))</f>
        <v>0</v>
      </c>
      <c r="E54" s="17">
        <f>(SUMIFS('MAIN DATA, Orders'!$I:$I,'MAIN DATA, Orders'!$C:$C,"Germany",'MAIN DATA, Orders'!$N:$N,"Einzelplan 60",'MAIN DATA, Orders'!$G:$G,"Air defence system",'MAIN DATA, Orders'!$E:$E,"&lt;&gt;Cryptographic and radio device for Patriot system",'MAIN DATA, Orders'!$Q:$Q,$A54))</f>
        <v>0</v>
      </c>
    </row>
    <row r="55" spans="1:5">
      <c r="A55" s="72">
        <v>49</v>
      </c>
      <c r="B55" s="68">
        <v>45292</v>
      </c>
      <c r="C55" s="17">
        <f>(SUMIFS('MAIN DATA, Orders'!$I:$I,'MAIN DATA, Orders'!$C:$C,"Germany",'MAIN DATA, Orders'!$N:$N,"Einzelplan 14",'MAIN DATA, Orders'!$G:$G,"Air defence system",'MAIN DATA, Orders'!$E:$E,"&lt;&gt;Cryptographic and radio device for Patriot system",'MAIN DATA, Orders'!$Q:$Q,$A55))</f>
        <v>0</v>
      </c>
      <c r="D55" s="17">
        <f>(SUMIFS('MAIN DATA, Orders'!$I:$I,'MAIN DATA, Orders'!$C:$C,"Germany",'MAIN DATA, Orders'!$N:$N,"Sondervermögen",'MAIN DATA, Orders'!$G:$G,"Air defence system",'MAIN DATA, Orders'!$E:$E,"&lt;&gt;Cryptographic and radio device for Patriot system",'MAIN DATA, Orders'!$Q:$Q,$A55))</f>
        <v>0</v>
      </c>
      <c r="E55" s="17">
        <f>(SUMIFS('MAIN DATA, Orders'!$I:$I,'MAIN DATA, Orders'!$C:$C,"Germany",'MAIN DATA, Orders'!$N:$N,"Einzelplan 60",'MAIN DATA, Orders'!$G:$G,"Air defence system",'MAIN DATA, Orders'!$E:$E,"&lt;&gt;Cryptographic and radio device for Patriot system",'MAIN DATA, Orders'!$Q:$Q,$A55))</f>
        <v>0</v>
      </c>
    </row>
    <row r="56" spans="1:5">
      <c r="A56" s="72">
        <v>50</v>
      </c>
      <c r="B56" s="68">
        <v>45323</v>
      </c>
      <c r="C56" s="17">
        <f>(SUMIFS('MAIN DATA, Orders'!$I:$I,'MAIN DATA, Orders'!$C:$C,"Germany",'MAIN DATA, Orders'!$N:$N,"Einzelplan 14",'MAIN DATA, Orders'!$G:$G,"Air defence system",'MAIN DATA, Orders'!$E:$E,"&lt;&gt;Cryptographic and radio device for Patriot system",'MAIN DATA, Orders'!$Q:$Q,$A56))</f>
        <v>0</v>
      </c>
      <c r="D56" s="17">
        <f>(SUMIFS('MAIN DATA, Orders'!$I:$I,'MAIN DATA, Orders'!$C:$C,"Germany",'MAIN DATA, Orders'!$N:$N,"Sondervermögen",'MAIN DATA, Orders'!$G:$G,"Air defence system",'MAIN DATA, Orders'!$E:$E,"&lt;&gt;Cryptographic and radio device for Patriot system",'MAIN DATA, Orders'!$Q:$Q,$A56))</f>
        <v>19</v>
      </c>
      <c r="E56" s="17">
        <f>(SUMIFS('MAIN DATA, Orders'!$I:$I,'MAIN DATA, Orders'!$C:$C,"Germany",'MAIN DATA, Orders'!$N:$N,"Einzelplan 60",'MAIN DATA, Orders'!$G:$G,"Air defence system",'MAIN DATA, Orders'!$E:$E,"&lt;&gt;Cryptographic and radio device for Patriot system",'MAIN DATA, Orders'!$Q:$Q,$A56))</f>
        <v>0</v>
      </c>
    </row>
    <row r="57" spans="1:5">
      <c r="A57" s="72">
        <v>51</v>
      </c>
      <c r="B57" s="68">
        <v>45352</v>
      </c>
      <c r="C57" s="17">
        <f>(SUMIFS('MAIN DATA, Orders'!$I:$I,'MAIN DATA, Orders'!$C:$C,"Germany",'MAIN DATA, Orders'!$N:$N,"Einzelplan 14",'MAIN DATA, Orders'!$G:$G,"Air defence system",'MAIN DATA, Orders'!$E:$E,"&lt;&gt;Cryptographic and radio device for Patriot system",'MAIN DATA, Orders'!$Q:$Q,$A57))</f>
        <v>0</v>
      </c>
      <c r="D57" s="17">
        <f>(SUMIFS('MAIN DATA, Orders'!$I:$I,'MAIN DATA, Orders'!$C:$C,"Germany",'MAIN DATA, Orders'!$N:$N,"Sondervermögen",'MAIN DATA, Orders'!$G:$G,"Air defence system",'MAIN DATA, Orders'!$E:$E,"&lt;&gt;Cryptographic and radio device for Patriot system",'MAIN DATA, Orders'!$Q:$Q,$A57))</f>
        <v>2</v>
      </c>
      <c r="E57" s="17">
        <f>(SUMIFS('MAIN DATA, Orders'!$I:$I,'MAIN DATA, Orders'!$C:$C,"Germany",'MAIN DATA, Orders'!$N:$N,"Einzelplan 60",'MAIN DATA, Orders'!$G:$G,"Air defence system",'MAIN DATA, Orders'!$E:$E,"&lt;&gt;Cryptographic and radio device for Patriot system",'MAIN DATA, Orders'!$Q:$Q,$A57))</f>
        <v>2</v>
      </c>
    </row>
    <row r="58" spans="1:5">
      <c r="A58" s="72">
        <v>52</v>
      </c>
      <c r="B58" s="68">
        <v>45383</v>
      </c>
      <c r="C58" s="17">
        <f>(SUMIFS('MAIN DATA, Orders'!$I:$I,'MAIN DATA, Orders'!$C:$C,"Germany",'MAIN DATA, Orders'!$N:$N,"Einzelplan 14",'MAIN DATA, Orders'!$G:$G,"Air defence system",'MAIN DATA, Orders'!$E:$E,"&lt;&gt;Cryptographic and radio device for Patriot system",'MAIN DATA, Orders'!$Q:$Q,$A58))</f>
        <v>0</v>
      </c>
      <c r="D58" s="17">
        <f>(SUMIFS('MAIN DATA, Orders'!$I:$I,'MAIN DATA, Orders'!$C:$C,"Germany",'MAIN DATA, Orders'!$N:$N,"Sondervermögen",'MAIN DATA, Orders'!$G:$G,"Air defence system",'MAIN DATA, Orders'!$E:$E,"&lt;&gt;Cryptographic and radio device for Patriot system",'MAIN DATA, Orders'!$Q:$Q,$A58))</f>
        <v>0</v>
      </c>
      <c r="E58" s="17">
        <f>(SUMIFS('MAIN DATA, Orders'!$I:$I,'MAIN DATA, Orders'!$C:$C,"Germany",'MAIN DATA, Orders'!$N:$N,"Einzelplan 60",'MAIN DATA, Orders'!$G:$G,"Air defence system",'MAIN DATA, Orders'!$E:$E,"&lt;&gt;Cryptographic and radio device for Patriot system",'MAIN DATA, Orders'!$Q:$Q,$A58))</f>
        <v>0</v>
      </c>
    </row>
    <row r="59" spans="1:5">
      <c r="A59" s="72">
        <v>53</v>
      </c>
      <c r="B59" s="68">
        <v>45413</v>
      </c>
      <c r="C59" s="17">
        <f>(SUMIFS('MAIN DATA, Orders'!$I:$I,'MAIN DATA, Orders'!$C:$C,"Germany",'MAIN DATA, Orders'!$N:$N,"Einzelplan 14",'MAIN DATA, Orders'!$G:$G,"Air defence system",'MAIN DATA, Orders'!$E:$E,"&lt;&gt;Cryptographic and radio device for Patriot system",'MAIN DATA, Orders'!$Q:$Q,$A59))</f>
        <v>0</v>
      </c>
      <c r="D59" s="17">
        <f>(SUMIFS('MAIN DATA, Orders'!$I:$I,'MAIN DATA, Orders'!$C:$C,"Germany",'MAIN DATA, Orders'!$N:$N,"Sondervermögen",'MAIN DATA, Orders'!$G:$G,"Air defence system",'MAIN DATA, Orders'!$E:$E,"&lt;&gt;Cryptographic and radio device for Patriot system",'MAIN DATA, Orders'!$Q:$Q,$A59))</f>
        <v>0</v>
      </c>
      <c r="E59" s="17">
        <f>(SUMIFS('MAIN DATA, Orders'!$I:$I,'MAIN DATA, Orders'!$C:$C,"Germany",'MAIN DATA, Orders'!$N:$N,"Einzelplan 60",'MAIN DATA, Orders'!$G:$G,"Air defence system",'MAIN DATA, Orders'!$E:$E,"&lt;&gt;Cryptographic and radio device for Patriot system",'MAIN DATA, Orders'!$Q:$Q,$A59))</f>
        <v>0</v>
      </c>
    </row>
    <row r="60" spans="1:5">
      <c r="A60" s="72">
        <v>54</v>
      </c>
      <c r="B60" s="68">
        <v>45444</v>
      </c>
      <c r="C60" s="17">
        <f>(SUMIFS('MAIN DATA, Orders'!$I:$I,'MAIN DATA, Orders'!$C:$C,"Germany",'MAIN DATA, Orders'!$N:$N,"Einzelplan 14",'MAIN DATA, Orders'!$G:$G,"Air defence system",'MAIN DATA, Orders'!$E:$E,"&lt;&gt;Cryptographic and radio device for Patriot system",'MAIN DATA, Orders'!$Q:$Q,$A60))</f>
        <v>0</v>
      </c>
      <c r="D60" s="17">
        <f>(SUMIFS('MAIN DATA, Orders'!$I:$I,'MAIN DATA, Orders'!$C:$C,"Germany",'MAIN DATA, Orders'!$N:$N,"Sondervermögen",'MAIN DATA, Orders'!$G:$G,"Air defence system",'MAIN DATA, Orders'!$E:$E,"&lt;&gt;Cryptographic and radio device for Patriot system",'MAIN DATA, Orders'!$Q:$Q,$A60))</f>
        <v>0</v>
      </c>
      <c r="E60" s="17">
        <f>(SUMIFS('MAIN DATA, Orders'!$I:$I,'MAIN DATA, Orders'!$C:$C,"Germany",'MAIN DATA, Orders'!$N:$N,"Einzelplan 60",'MAIN DATA, Orders'!$G:$G,"Air defence system",'MAIN DATA, Orders'!$E:$E,"&lt;&gt;Cryptographic and radio device for Patriot system",'MAIN DATA, Orders'!$Q:$Q,$A60))</f>
        <v>0</v>
      </c>
    </row>
    <row r="61" spans="1:5">
      <c r="A61" s="72">
        <v>55</v>
      </c>
      <c r="B61" s="155">
        <v>45474</v>
      </c>
      <c r="C61" s="60">
        <f>(SUMIFS('MAIN DATA, Orders'!$I:$I,'MAIN DATA, Orders'!$C:$C,"Germany",'MAIN DATA, Orders'!$N:$N,"Einzelplan 14",'MAIN DATA, Orders'!$G:$G,"Air defence system",'MAIN DATA, Orders'!$E:$E,"&lt;&gt;Cryptographic and radio device for Patriot system",'MAIN DATA, Orders'!$Q:$Q,$A61))</f>
        <v>3</v>
      </c>
      <c r="D61" s="60">
        <f>(SUMIFS('MAIN DATA, Orders'!$I:$I,'MAIN DATA, Orders'!$C:$C,"Germany",'MAIN DATA, Orders'!$N:$N,"Sondervermögen",'MAIN DATA, Orders'!$G:$G,"Air defence system",'MAIN DATA, Orders'!$E:$E,"&lt;&gt;Cryptographic and radio device for Patriot system",'MAIN DATA, Orders'!$Q:$Q,$A61))</f>
        <v>0</v>
      </c>
      <c r="E61" s="60">
        <f>(SUMIFS('MAIN DATA, Orders'!$I:$I,'MAIN DATA, Orders'!$C:$C,"Germany",'MAIN DATA, Orders'!$N:$N,"Einzelplan 60",'MAIN DATA, Orders'!$G:$G,"Air defence system",'MAIN DATA, Orders'!$E:$E,"&lt;&gt;Cryptographic and radio device for Patriot system",'MAIN DATA, Orders'!$Q:$Q,$A61))</f>
        <v>1</v>
      </c>
    </row>
    <row r="62" spans="1:5">
      <c r="A62" s="199"/>
      <c r="B62" s="199"/>
      <c r="C62" s="199"/>
      <c r="D62" s="199"/>
      <c r="E62" s="199"/>
    </row>
    <row r="63" spans="1:5">
      <c r="A63" s="199"/>
      <c r="B63" s="71" t="s">
        <v>1431</v>
      </c>
      <c r="C63" s="71">
        <f>SUM(C7:C61)</f>
        <v>3</v>
      </c>
      <c r="D63" s="71">
        <f>SUM(D7:D61)</f>
        <v>28</v>
      </c>
      <c r="E63" s="71">
        <f>SUM(E7:E61)</f>
        <v>3</v>
      </c>
    </row>
  </sheetData>
  <mergeCells count="1">
    <mergeCell ref="B4:F4"/>
  </mergeCell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D00A6F-FC60-4D8F-B55A-8F33D57B9897}">
  <sheetPr>
    <tabColor theme="9" tint="0.59999389629810485"/>
  </sheetPr>
  <dimension ref="A2:F63"/>
  <sheetViews>
    <sheetView workbookViewId="0"/>
  </sheetViews>
  <sheetFormatPr defaultColWidth="8.69921875" defaultRowHeight="15.6"/>
  <cols>
    <col min="1" max="1" width="8.69921875" style="1"/>
    <col min="2" max="2" width="13.5" style="1" customWidth="1"/>
    <col min="3" max="3" width="20.69921875" style="1" bestFit="1" customWidth="1"/>
    <col min="4" max="4" width="23.69921875" style="1" bestFit="1" customWidth="1"/>
    <col min="5" max="5" width="20.69921875" style="1" bestFit="1" customWidth="1"/>
    <col min="6" max="16384" width="8.69921875" style="1"/>
  </cols>
  <sheetData>
    <row r="2" spans="1:6" ht="25.2">
      <c r="B2" s="67" t="s">
        <v>1679</v>
      </c>
    </row>
    <row r="4" spans="1:6" ht="130.19999999999999" customHeight="1">
      <c r="B4" s="206" t="s">
        <v>1680</v>
      </c>
      <c r="C4" s="206"/>
      <c r="D4" s="206"/>
      <c r="E4" s="206"/>
      <c r="F4" s="206"/>
    </row>
    <row r="6" spans="1:6" ht="21" customHeight="1">
      <c r="A6" s="199"/>
      <c r="B6" s="161" t="s">
        <v>1404</v>
      </c>
      <c r="C6" s="162" t="s">
        <v>165</v>
      </c>
      <c r="D6" s="162" t="s">
        <v>665</v>
      </c>
      <c r="E6" s="162" t="s">
        <v>784</v>
      </c>
    </row>
    <row r="7" spans="1:6">
      <c r="A7" s="72">
        <v>1</v>
      </c>
      <c r="B7" s="68">
        <v>43831</v>
      </c>
      <c r="C7" s="61">
        <f>(SUMIFS('MAIN DATA, Orders'!$M:$M,'MAIN DATA, Orders'!$C:$C,"Germany",'MAIN DATA, Orders'!$N:$N,"Einzelplan 14",'MAIN DATA, Orders'!$G:$G,"Armoured vehicle",'MAIN DATA, Orders'!$Q:$Q,$A7)/1000000000)</f>
        <v>0</v>
      </c>
      <c r="D7" s="61">
        <f>(SUMIFS('MAIN DATA, Orders'!$M:$M,'MAIN DATA, Orders'!$C:$C,"Germany",'MAIN DATA, Orders'!$N:$N,"Sondervermögen",'MAIN DATA, Orders'!$G:$G,"Armoured vehicle",'MAIN DATA, Orders'!$Q:$Q,$A7)/1000000000)</f>
        <v>0</v>
      </c>
      <c r="E7" s="61">
        <f>(SUMIFS('MAIN DATA, Orders'!$M:$M,'MAIN DATA, Orders'!$C:$C,"Germany",'MAIN DATA, Orders'!$N:$N,"Einzelplan 60",'MAIN DATA, Orders'!$G:$G,"Armoured vehicle",'MAIN DATA, Orders'!$Q:$Q,$A7)/1000000000)</f>
        <v>0</v>
      </c>
    </row>
    <row r="8" spans="1:6">
      <c r="A8" s="72">
        <v>2</v>
      </c>
      <c r="B8" s="68">
        <v>43862</v>
      </c>
      <c r="C8" s="61">
        <f>(SUMIFS('MAIN DATA, Orders'!$M:$M,'MAIN DATA, Orders'!$C:$C,"Germany",'MAIN DATA, Orders'!$N:$N,"Einzelplan 14",'MAIN DATA, Orders'!$G:$G,"Armoured vehicle",'MAIN DATA, Orders'!$Q:$Q,$A8)/1000000000)</f>
        <v>0</v>
      </c>
      <c r="D8" s="61">
        <f>(SUMIFS('MAIN DATA, Orders'!$M:$M,'MAIN DATA, Orders'!$C:$C,"Germany",'MAIN DATA, Orders'!$N:$N,"Sondervermögen",'MAIN DATA, Orders'!$G:$G,"Armoured vehicle",'MAIN DATA, Orders'!$Q:$Q,$A8)/1000000000)</f>
        <v>0</v>
      </c>
      <c r="E8" s="61">
        <f>(SUMIFS('MAIN DATA, Orders'!$M:$M,'MAIN DATA, Orders'!$C:$C,"Germany",'MAIN DATA, Orders'!$N:$N,"Einzelplan 60",'MAIN DATA, Orders'!$G:$G,"Armoured vehicle",'MAIN DATA, Orders'!$Q:$Q,$A8)/1000000000)</f>
        <v>0</v>
      </c>
    </row>
    <row r="9" spans="1:6">
      <c r="A9" s="72">
        <v>3</v>
      </c>
      <c r="B9" s="68">
        <v>43891</v>
      </c>
      <c r="C9" s="61">
        <f>(SUMIFS('MAIN DATA, Orders'!$M:$M,'MAIN DATA, Orders'!$C:$C,"Germany",'MAIN DATA, Orders'!$N:$N,"Einzelplan 14",'MAIN DATA, Orders'!$G:$G,"Armoured vehicle",'MAIN DATA, Orders'!$Q:$Q,$A9)/1000000000)</f>
        <v>0</v>
      </c>
      <c r="D9" s="61">
        <f>(SUMIFS('MAIN DATA, Orders'!$M:$M,'MAIN DATA, Orders'!$C:$C,"Germany",'MAIN DATA, Orders'!$N:$N,"Sondervermögen",'MAIN DATA, Orders'!$G:$G,"Armoured vehicle",'MAIN DATA, Orders'!$Q:$Q,$A9)/1000000000)</f>
        <v>0</v>
      </c>
      <c r="E9" s="61">
        <f>(SUMIFS('MAIN DATA, Orders'!$M:$M,'MAIN DATA, Orders'!$C:$C,"Germany",'MAIN DATA, Orders'!$N:$N,"Einzelplan 60",'MAIN DATA, Orders'!$G:$G,"Armoured vehicle",'MAIN DATA, Orders'!$Q:$Q,$A9)/1000000000)</f>
        <v>0</v>
      </c>
    </row>
    <row r="10" spans="1:6">
      <c r="A10" s="72">
        <v>4</v>
      </c>
      <c r="B10" s="68">
        <v>43922</v>
      </c>
      <c r="C10" s="61">
        <f>(SUMIFS('MAIN DATA, Orders'!$M:$M,'MAIN DATA, Orders'!$C:$C,"Germany",'MAIN DATA, Orders'!$N:$N,"Einzelplan 14",'MAIN DATA, Orders'!$G:$G,"Armoured vehicle",'MAIN DATA, Orders'!$Q:$Q,$A10)/1000000000)</f>
        <v>0</v>
      </c>
      <c r="D10" s="61">
        <f>(SUMIFS('MAIN DATA, Orders'!$M:$M,'MAIN DATA, Orders'!$C:$C,"Germany",'MAIN DATA, Orders'!$N:$N,"Sondervermögen",'MAIN DATA, Orders'!$G:$G,"Armoured vehicle",'MAIN DATA, Orders'!$Q:$Q,$A10)/1000000000)</f>
        <v>0</v>
      </c>
      <c r="E10" s="61">
        <f>(SUMIFS('MAIN DATA, Orders'!$M:$M,'MAIN DATA, Orders'!$C:$C,"Germany",'MAIN DATA, Orders'!$N:$N,"Einzelplan 60",'MAIN DATA, Orders'!$G:$G,"Armoured vehicle",'MAIN DATA, Orders'!$Q:$Q,$A10)/1000000000)</f>
        <v>0</v>
      </c>
    </row>
    <row r="11" spans="1:6">
      <c r="A11" s="72">
        <v>5</v>
      </c>
      <c r="B11" s="68">
        <v>43952</v>
      </c>
      <c r="C11" s="61">
        <f>(SUMIFS('MAIN DATA, Orders'!$M:$M,'MAIN DATA, Orders'!$C:$C,"Germany",'MAIN DATA, Orders'!$N:$N,"Einzelplan 14",'MAIN DATA, Orders'!$G:$G,"Armoured vehicle",'MAIN DATA, Orders'!$Q:$Q,$A11)/1000000000)</f>
        <v>0</v>
      </c>
      <c r="D11" s="61">
        <f>(SUMIFS('MAIN DATA, Orders'!$M:$M,'MAIN DATA, Orders'!$C:$C,"Germany",'MAIN DATA, Orders'!$N:$N,"Sondervermögen",'MAIN DATA, Orders'!$G:$G,"Armoured vehicle",'MAIN DATA, Orders'!$Q:$Q,$A11)/1000000000)</f>
        <v>0</v>
      </c>
      <c r="E11" s="61">
        <f>(SUMIFS('MAIN DATA, Orders'!$M:$M,'MAIN DATA, Orders'!$C:$C,"Germany",'MAIN DATA, Orders'!$N:$N,"Einzelplan 60",'MAIN DATA, Orders'!$G:$G,"Armoured vehicle",'MAIN DATA, Orders'!$Q:$Q,$A11)/1000000000)</f>
        <v>0</v>
      </c>
    </row>
    <row r="12" spans="1:6">
      <c r="A12" s="72">
        <v>6</v>
      </c>
      <c r="B12" s="68">
        <v>43983</v>
      </c>
      <c r="C12" s="61">
        <f>(SUMIFS('MAIN DATA, Orders'!$M:$M,'MAIN DATA, Orders'!$C:$C,"Germany",'MAIN DATA, Orders'!$N:$N,"Einzelplan 14",'MAIN DATA, Orders'!$G:$G,"Armoured vehicle",'MAIN DATA, Orders'!$Q:$Q,$A12)/1000000000)</f>
        <v>0</v>
      </c>
      <c r="D12" s="61">
        <f>(SUMIFS('MAIN DATA, Orders'!$M:$M,'MAIN DATA, Orders'!$C:$C,"Germany",'MAIN DATA, Orders'!$N:$N,"Sondervermögen",'MAIN DATA, Orders'!$G:$G,"Armoured vehicle",'MAIN DATA, Orders'!$Q:$Q,$A12)/1000000000)</f>
        <v>0</v>
      </c>
      <c r="E12" s="61">
        <f>(SUMIFS('MAIN DATA, Orders'!$M:$M,'MAIN DATA, Orders'!$C:$C,"Germany",'MAIN DATA, Orders'!$N:$N,"Einzelplan 60",'MAIN DATA, Orders'!$G:$G,"Armoured vehicle",'MAIN DATA, Orders'!$Q:$Q,$A12)/1000000000)</f>
        <v>0</v>
      </c>
    </row>
    <row r="13" spans="1:6">
      <c r="A13" s="72">
        <v>7</v>
      </c>
      <c r="B13" s="68">
        <v>44013</v>
      </c>
      <c r="C13" s="61">
        <f>(SUMIFS('MAIN DATA, Orders'!$M:$M,'MAIN DATA, Orders'!$C:$C,"Germany",'MAIN DATA, Orders'!$N:$N,"Einzelplan 14",'MAIN DATA, Orders'!$G:$G,"Armoured vehicle",'MAIN DATA, Orders'!$Q:$Q,$A13)/1000000000)</f>
        <v>0</v>
      </c>
      <c r="D13" s="61">
        <f>(SUMIFS('MAIN DATA, Orders'!$M:$M,'MAIN DATA, Orders'!$C:$C,"Germany",'MAIN DATA, Orders'!$N:$N,"Sondervermögen",'MAIN DATA, Orders'!$G:$G,"Armoured vehicle",'MAIN DATA, Orders'!$Q:$Q,$A13)/1000000000)</f>
        <v>0</v>
      </c>
      <c r="E13" s="61">
        <f>(SUMIFS('MAIN DATA, Orders'!$M:$M,'MAIN DATA, Orders'!$C:$C,"Germany",'MAIN DATA, Orders'!$N:$N,"Einzelplan 60",'MAIN DATA, Orders'!$G:$G,"Armoured vehicle",'MAIN DATA, Orders'!$Q:$Q,$A13)/1000000000)</f>
        <v>0</v>
      </c>
    </row>
    <row r="14" spans="1:6">
      <c r="A14" s="72">
        <v>8</v>
      </c>
      <c r="B14" s="68">
        <v>44044</v>
      </c>
      <c r="C14" s="61">
        <f>(SUMIFS('MAIN DATA, Orders'!$M:$M,'MAIN DATA, Orders'!$C:$C,"Germany",'MAIN DATA, Orders'!$N:$N,"Einzelplan 14",'MAIN DATA, Orders'!$G:$G,"Armoured vehicle",'MAIN DATA, Orders'!$Q:$Q,$A14)/1000000000)</f>
        <v>0</v>
      </c>
      <c r="D14" s="61">
        <f>(SUMIFS('MAIN DATA, Orders'!$M:$M,'MAIN DATA, Orders'!$C:$C,"Germany",'MAIN DATA, Orders'!$N:$N,"Sondervermögen",'MAIN DATA, Orders'!$G:$G,"Armoured vehicle",'MAIN DATA, Orders'!$Q:$Q,$A14)/1000000000)</f>
        <v>0</v>
      </c>
      <c r="E14" s="61">
        <f>(SUMIFS('MAIN DATA, Orders'!$M:$M,'MAIN DATA, Orders'!$C:$C,"Germany",'MAIN DATA, Orders'!$N:$N,"Einzelplan 60",'MAIN DATA, Orders'!$G:$G,"Armoured vehicle",'MAIN DATA, Orders'!$Q:$Q,$A14)/1000000000)</f>
        <v>0</v>
      </c>
    </row>
    <row r="15" spans="1:6">
      <c r="A15" s="72">
        <v>9</v>
      </c>
      <c r="B15" s="68">
        <v>44075</v>
      </c>
      <c r="C15" s="61">
        <f>(SUMIFS('MAIN DATA, Orders'!$M:$M,'MAIN DATA, Orders'!$C:$C,"Germany",'MAIN DATA, Orders'!$N:$N,"Einzelplan 14",'MAIN DATA, Orders'!$G:$G,"Armoured vehicle",'MAIN DATA, Orders'!$Q:$Q,$A15)/1000000000)</f>
        <v>0</v>
      </c>
      <c r="D15" s="61">
        <f>(SUMIFS('MAIN DATA, Orders'!$M:$M,'MAIN DATA, Orders'!$C:$C,"Germany",'MAIN DATA, Orders'!$N:$N,"Sondervermögen",'MAIN DATA, Orders'!$G:$G,"Armoured vehicle",'MAIN DATA, Orders'!$Q:$Q,$A15)/1000000000)</f>
        <v>0</v>
      </c>
      <c r="E15" s="61">
        <f>(SUMIFS('MAIN DATA, Orders'!$M:$M,'MAIN DATA, Orders'!$C:$C,"Germany",'MAIN DATA, Orders'!$N:$N,"Einzelplan 60",'MAIN DATA, Orders'!$G:$G,"Armoured vehicle",'MAIN DATA, Orders'!$Q:$Q,$A15)/1000000000)</f>
        <v>0</v>
      </c>
    </row>
    <row r="16" spans="1:6">
      <c r="A16" s="72">
        <v>10</v>
      </c>
      <c r="B16" s="68">
        <v>44105</v>
      </c>
      <c r="C16" s="61">
        <f>(SUMIFS('MAIN DATA, Orders'!$M:$M,'MAIN DATA, Orders'!$C:$C,"Germany",'MAIN DATA, Orders'!$N:$N,"Einzelplan 14",'MAIN DATA, Orders'!$G:$G,"Armoured vehicle",'MAIN DATA, Orders'!$Q:$Q,$A16)/1000000000)</f>
        <v>0</v>
      </c>
      <c r="D16" s="61">
        <f>(SUMIFS('MAIN DATA, Orders'!$M:$M,'MAIN DATA, Orders'!$C:$C,"Germany",'MAIN DATA, Orders'!$N:$N,"Sondervermögen",'MAIN DATA, Orders'!$G:$G,"Armoured vehicle",'MAIN DATA, Orders'!$Q:$Q,$A16)/1000000000)</f>
        <v>0</v>
      </c>
      <c r="E16" s="61">
        <f>(SUMIFS('MAIN DATA, Orders'!$M:$M,'MAIN DATA, Orders'!$C:$C,"Germany",'MAIN DATA, Orders'!$N:$N,"Einzelplan 60",'MAIN DATA, Orders'!$G:$G,"Armoured vehicle",'MAIN DATA, Orders'!$Q:$Q,$A16)/1000000000)</f>
        <v>0</v>
      </c>
    </row>
    <row r="17" spans="1:5">
      <c r="A17" s="72">
        <v>11</v>
      </c>
      <c r="B17" s="68">
        <v>44136</v>
      </c>
      <c r="C17" s="61">
        <f>(SUMIFS('MAIN DATA, Orders'!$M:$M,'MAIN DATA, Orders'!$C:$C,"Germany",'MAIN DATA, Orders'!$N:$N,"Einzelplan 14",'MAIN DATA, Orders'!$G:$G,"Armoured vehicle",'MAIN DATA, Orders'!$Q:$Q,$A17)/1000000000)</f>
        <v>0.18</v>
      </c>
      <c r="D17" s="61">
        <f>(SUMIFS('MAIN DATA, Orders'!$M:$M,'MAIN DATA, Orders'!$C:$C,"Germany",'MAIN DATA, Orders'!$N:$N,"Sondervermögen",'MAIN DATA, Orders'!$G:$G,"Armoured vehicle",'MAIN DATA, Orders'!$Q:$Q,$A17)/1000000000)</f>
        <v>0</v>
      </c>
      <c r="E17" s="61">
        <f>(SUMIFS('MAIN DATA, Orders'!$M:$M,'MAIN DATA, Orders'!$C:$C,"Germany",'MAIN DATA, Orders'!$N:$N,"Einzelplan 60",'MAIN DATA, Orders'!$G:$G,"Armoured vehicle",'MAIN DATA, Orders'!$Q:$Q,$A17)/1000000000)</f>
        <v>0</v>
      </c>
    </row>
    <row r="18" spans="1:5">
      <c r="A18" s="72">
        <v>12</v>
      </c>
      <c r="B18" s="68">
        <v>44166</v>
      </c>
      <c r="C18" s="61">
        <f>(SUMIFS('MAIN DATA, Orders'!$M:$M,'MAIN DATA, Orders'!$C:$C,"Germany",'MAIN DATA, Orders'!$N:$N,"Einzelplan 14",'MAIN DATA, Orders'!$G:$G,"Armoured vehicle",'MAIN DATA, Orders'!$Q:$Q,$A18)/1000000000)</f>
        <v>0</v>
      </c>
      <c r="D18" s="61">
        <f>(SUMIFS('MAIN DATA, Orders'!$M:$M,'MAIN DATA, Orders'!$C:$C,"Germany",'MAIN DATA, Orders'!$N:$N,"Sondervermögen",'MAIN DATA, Orders'!$G:$G,"Armoured vehicle",'MAIN DATA, Orders'!$Q:$Q,$A18)/1000000000)</f>
        <v>0</v>
      </c>
      <c r="E18" s="61">
        <f>(SUMIFS('MAIN DATA, Orders'!$M:$M,'MAIN DATA, Orders'!$C:$C,"Germany",'MAIN DATA, Orders'!$N:$N,"Einzelplan 60",'MAIN DATA, Orders'!$G:$G,"Armoured vehicle",'MAIN DATA, Orders'!$Q:$Q,$A18)/1000000000)</f>
        <v>0</v>
      </c>
    </row>
    <row r="19" spans="1:5">
      <c r="A19" s="72">
        <v>13</v>
      </c>
      <c r="B19" s="68">
        <v>44197</v>
      </c>
      <c r="C19" s="61">
        <f>(SUMIFS('MAIN DATA, Orders'!$M:$M,'MAIN DATA, Orders'!$C:$C,"Germany",'MAIN DATA, Orders'!$N:$N,"Einzelplan 14",'MAIN DATA, Orders'!$G:$G,"Armoured vehicle",'MAIN DATA, Orders'!$Q:$Q,$A19)/1000000000)</f>
        <v>0</v>
      </c>
      <c r="D19" s="61">
        <f>(SUMIFS('MAIN DATA, Orders'!$M:$M,'MAIN DATA, Orders'!$C:$C,"Germany",'MAIN DATA, Orders'!$N:$N,"Sondervermögen",'MAIN DATA, Orders'!$G:$G,"Armoured vehicle",'MAIN DATA, Orders'!$Q:$Q,$A19)/1000000000)</f>
        <v>0</v>
      </c>
      <c r="E19" s="61">
        <f>(SUMIFS('MAIN DATA, Orders'!$M:$M,'MAIN DATA, Orders'!$C:$C,"Germany",'MAIN DATA, Orders'!$N:$N,"Einzelplan 60",'MAIN DATA, Orders'!$G:$G,"Armoured vehicle",'MAIN DATA, Orders'!$Q:$Q,$A19)/1000000000)</f>
        <v>0</v>
      </c>
    </row>
    <row r="20" spans="1:5">
      <c r="A20" s="72">
        <v>14</v>
      </c>
      <c r="B20" s="68">
        <v>44228</v>
      </c>
      <c r="C20" s="61">
        <f>(SUMIFS('MAIN DATA, Orders'!$M:$M,'MAIN DATA, Orders'!$C:$C,"Germany",'MAIN DATA, Orders'!$N:$N,"Einzelplan 14",'MAIN DATA, Orders'!$G:$G,"Armoured vehicle",'MAIN DATA, Orders'!$Q:$Q,$A20)/1000000000)</f>
        <v>0</v>
      </c>
      <c r="D20" s="61">
        <f>(SUMIFS('MAIN DATA, Orders'!$M:$M,'MAIN DATA, Orders'!$C:$C,"Germany",'MAIN DATA, Orders'!$N:$N,"Sondervermögen",'MAIN DATA, Orders'!$G:$G,"Armoured vehicle",'MAIN DATA, Orders'!$Q:$Q,$A20)/1000000000)</f>
        <v>0</v>
      </c>
      <c r="E20" s="61">
        <f>(SUMIFS('MAIN DATA, Orders'!$M:$M,'MAIN DATA, Orders'!$C:$C,"Germany",'MAIN DATA, Orders'!$N:$N,"Einzelplan 60",'MAIN DATA, Orders'!$G:$G,"Armoured vehicle",'MAIN DATA, Orders'!$Q:$Q,$A20)/1000000000)</f>
        <v>0</v>
      </c>
    </row>
    <row r="21" spans="1:5">
      <c r="A21" s="72">
        <v>15</v>
      </c>
      <c r="B21" s="68">
        <v>44256</v>
      </c>
      <c r="C21" s="61">
        <f>(SUMIFS('MAIN DATA, Orders'!$M:$M,'MAIN DATA, Orders'!$C:$C,"Germany",'MAIN DATA, Orders'!$N:$N,"Einzelplan 14",'MAIN DATA, Orders'!$G:$G,"Armoured vehicle",'MAIN DATA, Orders'!$Q:$Q,$A21)/1000000000)</f>
        <v>0</v>
      </c>
      <c r="D21" s="61">
        <f>(SUMIFS('MAIN DATA, Orders'!$M:$M,'MAIN DATA, Orders'!$C:$C,"Germany",'MAIN DATA, Orders'!$N:$N,"Sondervermögen",'MAIN DATA, Orders'!$G:$G,"Armoured vehicle",'MAIN DATA, Orders'!$Q:$Q,$A21)/1000000000)</f>
        <v>0</v>
      </c>
      <c r="E21" s="61">
        <f>(SUMIFS('MAIN DATA, Orders'!$M:$M,'MAIN DATA, Orders'!$C:$C,"Germany",'MAIN DATA, Orders'!$N:$N,"Einzelplan 60",'MAIN DATA, Orders'!$G:$G,"Armoured vehicle",'MAIN DATA, Orders'!$Q:$Q,$A21)/1000000000)</f>
        <v>0</v>
      </c>
    </row>
    <row r="22" spans="1:5">
      <c r="A22" s="72">
        <v>16</v>
      </c>
      <c r="B22" s="68">
        <v>44287</v>
      </c>
      <c r="C22" s="61">
        <f>(SUMIFS('MAIN DATA, Orders'!$M:$M,'MAIN DATA, Orders'!$C:$C,"Germany",'MAIN DATA, Orders'!$N:$N,"Einzelplan 14",'MAIN DATA, Orders'!$G:$G,"Armoured vehicle",'MAIN DATA, Orders'!$Q:$Q,$A22)/1000000000)</f>
        <v>0.29499999999999998</v>
      </c>
      <c r="D22" s="61">
        <f>(SUMIFS('MAIN DATA, Orders'!$M:$M,'MAIN DATA, Orders'!$C:$C,"Germany",'MAIN DATA, Orders'!$N:$N,"Sondervermögen",'MAIN DATA, Orders'!$G:$G,"Armoured vehicle",'MAIN DATA, Orders'!$Q:$Q,$A22)/1000000000)</f>
        <v>0</v>
      </c>
      <c r="E22" s="61">
        <f>(SUMIFS('MAIN DATA, Orders'!$M:$M,'MAIN DATA, Orders'!$C:$C,"Germany",'MAIN DATA, Orders'!$N:$N,"Einzelplan 60",'MAIN DATA, Orders'!$G:$G,"Armoured vehicle",'MAIN DATA, Orders'!$Q:$Q,$A22)/1000000000)</f>
        <v>0</v>
      </c>
    </row>
    <row r="23" spans="1:5">
      <c r="A23" s="72">
        <v>17</v>
      </c>
      <c r="B23" s="68">
        <v>44317</v>
      </c>
      <c r="C23" s="61">
        <f>(SUMIFS('MAIN DATA, Orders'!$M:$M,'MAIN DATA, Orders'!$C:$C,"Germany",'MAIN DATA, Orders'!$N:$N,"Einzelplan 14",'MAIN DATA, Orders'!$G:$G,"Armoured vehicle",'MAIN DATA, Orders'!$Q:$Q,$A23)/1000000000)</f>
        <v>0</v>
      </c>
      <c r="D23" s="61">
        <f>(SUMIFS('MAIN DATA, Orders'!$M:$M,'MAIN DATA, Orders'!$C:$C,"Germany",'MAIN DATA, Orders'!$N:$N,"Sondervermögen",'MAIN DATA, Orders'!$G:$G,"Armoured vehicle",'MAIN DATA, Orders'!$Q:$Q,$A23)/1000000000)</f>
        <v>0</v>
      </c>
      <c r="E23" s="61">
        <f>(SUMIFS('MAIN DATA, Orders'!$M:$M,'MAIN DATA, Orders'!$C:$C,"Germany",'MAIN DATA, Orders'!$N:$N,"Einzelplan 60",'MAIN DATA, Orders'!$G:$G,"Armoured vehicle",'MAIN DATA, Orders'!$Q:$Q,$A23)/1000000000)</f>
        <v>0</v>
      </c>
    </row>
    <row r="24" spans="1:5">
      <c r="A24" s="72">
        <v>18</v>
      </c>
      <c r="B24" s="68">
        <v>44348</v>
      </c>
      <c r="C24" s="61">
        <f>(SUMIFS('MAIN DATA, Orders'!$M:$M,'MAIN DATA, Orders'!$C:$C,"Germany",'MAIN DATA, Orders'!$N:$N,"Einzelplan 14",'MAIN DATA, Orders'!$G:$G,"Armoured vehicle",'MAIN DATA, Orders'!$Q:$Q,$A24)/1000000000)</f>
        <v>1.079</v>
      </c>
      <c r="D24" s="61">
        <f>(SUMIFS('MAIN DATA, Orders'!$M:$M,'MAIN DATA, Orders'!$C:$C,"Germany",'MAIN DATA, Orders'!$N:$N,"Sondervermögen",'MAIN DATA, Orders'!$G:$G,"Armoured vehicle",'MAIN DATA, Orders'!$Q:$Q,$A24)/1000000000)</f>
        <v>0</v>
      </c>
      <c r="E24" s="61">
        <f>(SUMIFS('MAIN DATA, Orders'!$M:$M,'MAIN DATA, Orders'!$C:$C,"Germany",'MAIN DATA, Orders'!$N:$N,"Einzelplan 60",'MAIN DATA, Orders'!$G:$G,"Armoured vehicle",'MAIN DATA, Orders'!$Q:$Q,$A24)/1000000000)</f>
        <v>0</v>
      </c>
    </row>
    <row r="25" spans="1:5">
      <c r="A25" s="72">
        <v>19</v>
      </c>
      <c r="B25" s="68">
        <v>44378</v>
      </c>
      <c r="C25" s="61">
        <f>(SUMIFS('MAIN DATA, Orders'!$M:$M,'MAIN DATA, Orders'!$C:$C,"Germany",'MAIN DATA, Orders'!$N:$N,"Einzelplan 14",'MAIN DATA, Orders'!$G:$G,"Armoured vehicle",'MAIN DATA, Orders'!$Q:$Q,$A25)/1000000000)</f>
        <v>0</v>
      </c>
      <c r="D25" s="61">
        <f>(SUMIFS('MAIN DATA, Orders'!$M:$M,'MAIN DATA, Orders'!$C:$C,"Germany",'MAIN DATA, Orders'!$N:$N,"Sondervermögen",'MAIN DATA, Orders'!$G:$G,"Armoured vehicle",'MAIN DATA, Orders'!$Q:$Q,$A25)/1000000000)</f>
        <v>0</v>
      </c>
      <c r="E25" s="61">
        <f>(SUMIFS('MAIN DATA, Orders'!$M:$M,'MAIN DATA, Orders'!$C:$C,"Germany",'MAIN DATA, Orders'!$N:$N,"Einzelplan 60",'MAIN DATA, Orders'!$G:$G,"Armoured vehicle",'MAIN DATA, Orders'!$Q:$Q,$A25)/1000000000)</f>
        <v>0</v>
      </c>
    </row>
    <row r="26" spans="1:5">
      <c r="A26" s="72">
        <v>20</v>
      </c>
      <c r="B26" s="68">
        <v>44409</v>
      </c>
      <c r="C26" s="61">
        <f>(SUMIFS('MAIN DATA, Orders'!$M:$M,'MAIN DATA, Orders'!$C:$C,"Germany",'MAIN DATA, Orders'!$N:$N,"Einzelplan 14",'MAIN DATA, Orders'!$G:$G,"Armoured vehicle",'MAIN DATA, Orders'!$Q:$Q,$A26)/1000000000)</f>
        <v>0</v>
      </c>
      <c r="D26" s="61">
        <f>(SUMIFS('MAIN DATA, Orders'!$M:$M,'MAIN DATA, Orders'!$C:$C,"Germany",'MAIN DATA, Orders'!$N:$N,"Sondervermögen",'MAIN DATA, Orders'!$G:$G,"Armoured vehicle",'MAIN DATA, Orders'!$Q:$Q,$A26)/1000000000)</f>
        <v>0</v>
      </c>
      <c r="E26" s="61">
        <f>(SUMIFS('MAIN DATA, Orders'!$M:$M,'MAIN DATA, Orders'!$C:$C,"Germany",'MAIN DATA, Orders'!$N:$N,"Einzelplan 60",'MAIN DATA, Orders'!$G:$G,"Armoured vehicle",'MAIN DATA, Orders'!$Q:$Q,$A26)/1000000000)</f>
        <v>0</v>
      </c>
    </row>
    <row r="27" spans="1:5">
      <c r="A27" s="72">
        <v>21</v>
      </c>
      <c r="B27" s="68">
        <v>44440</v>
      </c>
      <c r="C27" s="61">
        <f>(SUMIFS('MAIN DATA, Orders'!$M:$M,'MAIN DATA, Orders'!$C:$C,"Germany",'MAIN DATA, Orders'!$N:$N,"Einzelplan 14",'MAIN DATA, Orders'!$G:$G,"Armoured vehicle",'MAIN DATA, Orders'!$Q:$Q,$A27)/1000000000)</f>
        <v>0</v>
      </c>
      <c r="D27" s="61">
        <f>(SUMIFS('MAIN DATA, Orders'!$M:$M,'MAIN DATA, Orders'!$C:$C,"Germany",'MAIN DATA, Orders'!$N:$N,"Sondervermögen",'MAIN DATA, Orders'!$G:$G,"Armoured vehicle",'MAIN DATA, Orders'!$Q:$Q,$A27)/1000000000)</f>
        <v>0</v>
      </c>
      <c r="E27" s="61">
        <f>(SUMIFS('MAIN DATA, Orders'!$M:$M,'MAIN DATA, Orders'!$C:$C,"Germany",'MAIN DATA, Orders'!$N:$N,"Einzelplan 60",'MAIN DATA, Orders'!$G:$G,"Armoured vehicle",'MAIN DATA, Orders'!$Q:$Q,$A27)/1000000000)</f>
        <v>0</v>
      </c>
    </row>
    <row r="28" spans="1:5">
      <c r="A28" s="72">
        <v>22</v>
      </c>
      <c r="B28" s="68">
        <v>44470</v>
      </c>
      <c r="C28" s="61">
        <f>(SUMIFS('MAIN DATA, Orders'!$M:$M,'MAIN DATA, Orders'!$C:$C,"Germany",'MAIN DATA, Orders'!$N:$N,"Einzelplan 14",'MAIN DATA, Orders'!$G:$G,"Armoured vehicle",'MAIN DATA, Orders'!$Q:$Q,$A28)/1000000000)</f>
        <v>0</v>
      </c>
      <c r="D28" s="61">
        <f>(SUMIFS('MAIN DATA, Orders'!$M:$M,'MAIN DATA, Orders'!$C:$C,"Germany",'MAIN DATA, Orders'!$N:$N,"Sondervermögen",'MAIN DATA, Orders'!$G:$G,"Armoured vehicle",'MAIN DATA, Orders'!$Q:$Q,$A28)/1000000000)</f>
        <v>0</v>
      </c>
      <c r="E28" s="61">
        <f>(SUMIFS('MAIN DATA, Orders'!$M:$M,'MAIN DATA, Orders'!$C:$C,"Germany",'MAIN DATA, Orders'!$N:$N,"Einzelplan 60",'MAIN DATA, Orders'!$G:$G,"Armoured vehicle",'MAIN DATA, Orders'!$Q:$Q,$A28)/1000000000)</f>
        <v>0</v>
      </c>
    </row>
    <row r="29" spans="1:5">
      <c r="A29" s="72">
        <v>23</v>
      </c>
      <c r="B29" s="68">
        <v>44501</v>
      </c>
      <c r="C29" s="61">
        <f>(SUMIFS('MAIN DATA, Orders'!$M:$M,'MAIN DATA, Orders'!$C:$C,"Germany",'MAIN DATA, Orders'!$N:$N,"Einzelplan 14",'MAIN DATA, Orders'!$G:$G,"Armoured vehicle",'MAIN DATA, Orders'!$Q:$Q,$A29)/1000000000)</f>
        <v>0</v>
      </c>
      <c r="D29" s="61">
        <f>(SUMIFS('MAIN DATA, Orders'!$M:$M,'MAIN DATA, Orders'!$C:$C,"Germany",'MAIN DATA, Orders'!$N:$N,"Sondervermögen",'MAIN DATA, Orders'!$G:$G,"Armoured vehicle",'MAIN DATA, Orders'!$Q:$Q,$A29)/1000000000)</f>
        <v>0</v>
      </c>
      <c r="E29" s="61">
        <f>(SUMIFS('MAIN DATA, Orders'!$M:$M,'MAIN DATA, Orders'!$C:$C,"Germany",'MAIN DATA, Orders'!$N:$N,"Einzelplan 60",'MAIN DATA, Orders'!$G:$G,"Armoured vehicle",'MAIN DATA, Orders'!$Q:$Q,$A29)/1000000000)</f>
        <v>0</v>
      </c>
    </row>
    <row r="30" spans="1:5">
      <c r="A30" s="72">
        <v>24</v>
      </c>
      <c r="B30" s="68">
        <v>44531</v>
      </c>
      <c r="C30" s="61">
        <f>(SUMIFS('MAIN DATA, Orders'!$M:$M,'MAIN DATA, Orders'!$C:$C,"Germany",'MAIN DATA, Orders'!$N:$N,"Einzelplan 14",'MAIN DATA, Orders'!$G:$G,"Armoured vehicle",'MAIN DATA, Orders'!$Q:$Q,$A30)/1000000000)</f>
        <v>0</v>
      </c>
      <c r="D30" s="61">
        <f>(SUMIFS('MAIN DATA, Orders'!$M:$M,'MAIN DATA, Orders'!$C:$C,"Germany",'MAIN DATA, Orders'!$N:$N,"Sondervermögen",'MAIN DATA, Orders'!$G:$G,"Armoured vehicle",'MAIN DATA, Orders'!$Q:$Q,$A30)/1000000000)</f>
        <v>0</v>
      </c>
      <c r="E30" s="61">
        <f>(SUMIFS('MAIN DATA, Orders'!$M:$M,'MAIN DATA, Orders'!$C:$C,"Germany",'MAIN DATA, Orders'!$N:$N,"Einzelplan 60",'MAIN DATA, Orders'!$G:$G,"Armoured vehicle",'MAIN DATA, Orders'!$Q:$Q,$A30)/1000000000)</f>
        <v>0</v>
      </c>
    </row>
    <row r="31" spans="1:5">
      <c r="A31" s="72">
        <v>25</v>
      </c>
      <c r="B31" s="68">
        <v>44562</v>
      </c>
      <c r="C31" s="61">
        <f>(SUMIFS('MAIN DATA, Orders'!$M:$M,'MAIN DATA, Orders'!$C:$C,"Germany",'MAIN DATA, Orders'!$N:$N,"Einzelplan 14",'MAIN DATA, Orders'!$G:$G,"Armoured vehicle",'MAIN DATA, Orders'!$Q:$Q,$A31)/1000000000)</f>
        <v>0</v>
      </c>
      <c r="D31" s="61">
        <f>(SUMIFS('MAIN DATA, Orders'!$M:$M,'MAIN DATA, Orders'!$C:$C,"Germany",'MAIN DATA, Orders'!$N:$N,"Sondervermögen",'MAIN DATA, Orders'!$G:$G,"Armoured vehicle",'MAIN DATA, Orders'!$Q:$Q,$A31)/1000000000)</f>
        <v>0</v>
      </c>
      <c r="E31" s="61">
        <f>(SUMIFS('MAIN DATA, Orders'!$M:$M,'MAIN DATA, Orders'!$C:$C,"Germany",'MAIN DATA, Orders'!$N:$N,"Einzelplan 60",'MAIN DATA, Orders'!$G:$G,"Armoured vehicle",'MAIN DATA, Orders'!$Q:$Q,$A31)/1000000000)</f>
        <v>0</v>
      </c>
    </row>
    <row r="32" spans="1:5">
      <c r="A32" s="72">
        <v>26</v>
      </c>
      <c r="B32" s="68">
        <v>44593</v>
      </c>
      <c r="C32" s="61">
        <f>(SUMIFS('MAIN DATA, Orders'!$M:$M,'MAIN DATA, Orders'!$C:$C,"Germany",'MAIN DATA, Orders'!$N:$N,"Einzelplan 14",'MAIN DATA, Orders'!$G:$G,"Armoured vehicle",'MAIN DATA, Orders'!$Q:$Q,$A32)/1000000000)</f>
        <v>0</v>
      </c>
      <c r="D32" s="61">
        <f>(SUMIFS('MAIN DATA, Orders'!$M:$M,'MAIN DATA, Orders'!$C:$C,"Germany",'MAIN DATA, Orders'!$N:$N,"Sondervermögen",'MAIN DATA, Orders'!$G:$G,"Armoured vehicle",'MAIN DATA, Orders'!$Q:$Q,$A32)/1000000000)</f>
        <v>0</v>
      </c>
      <c r="E32" s="61">
        <f>(SUMIFS('MAIN DATA, Orders'!$M:$M,'MAIN DATA, Orders'!$C:$C,"Germany",'MAIN DATA, Orders'!$N:$N,"Einzelplan 60",'MAIN DATA, Orders'!$G:$G,"Armoured vehicle",'MAIN DATA, Orders'!$Q:$Q,$A32)/1000000000)</f>
        <v>0</v>
      </c>
    </row>
    <row r="33" spans="1:5">
      <c r="A33" s="72">
        <v>27</v>
      </c>
      <c r="B33" s="68">
        <v>44621</v>
      </c>
      <c r="C33" s="61">
        <f>(SUMIFS('MAIN DATA, Orders'!$M:$M,'MAIN DATA, Orders'!$C:$C,"Germany",'MAIN DATA, Orders'!$N:$N,"Einzelplan 14",'MAIN DATA, Orders'!$G:$G,"Armoured vehicle",'MAIN DATA, Orders'!$Q:$Q,$A33)/1000000000)</f>
        <v>0</v>
      </c>
      <c r="D33" s="61">
        <f>(SUMIFS('MAIN DATA, Orders'!$M:$M,'MAIN DATA, Orders'!$C:$C,"Germany",'MAIN DATA, Orders'!$N:$N,"Sondervermögen",'MAIN DATA, Orders'!$G:$G,"Armoured vehicle",'MAIN DATA, Orders'!$Q:$Q,$A33)/1000000000)</f>
        <v>0</v>
      </c>
      <c r="E33" s="61">
        <f>(SUMIFS('MAIN DATA, Orders'!$M:$M,'MAIN DATA, Orders'!$C:$C,"Germany",'MAIN DATA, Orders'!$N:$N,"Einzelplan 60",'MAIN DATA, Orders'!$G:$G,"Armoured vehicle",'MAIN DATA, Orders'!$Q:$Q,$A33)/1000000000)</f>
        <v>0</v>
      </c>
    </row>
    <row r="34" spans="1:5">
      <c r="A34" s="72">
        <v>28</v>
      </c>
      <c r="B34" s="68">
        <v>44652</v>
      </c>
      <c r="C34" s="61">
        <f>(SUMIFS('MAIN DATA, Orders'!$M:$M,'MAIN DATA, Orders'!$C:$C,"Germany",'MAIN DATA, Orders'!$N:$N,"Einzelplan 14",'MAIN DATA, Orders'!$G:$G,"Armoured vehicle",'MAIN DATA, Orders'!$Q:$Q,$A34)/1000000000)</f>
        <v>0</v>
      </c>
      <c r="D34" s="61">
        <f>(SUMIFS('MAIN DATA, Orders'!$M:$M,'MAIN DATA, Orders'!$C:$C,"Germany",'MAIN DATA, Orders'!$N:$N,"Sondervermögen",'MAIN DATA, Orders'!$G:$G,"Armoured vehicle",'MAIN DATA, Orders'!$Q:$Q,$A34)/1000000000)</f>
        <v>0</v>
      </c>
      <c r="E34" s="61">
        <f>(SUMIFS('MAIN DATA, Orders'!$M:$M,'MAIN DATA, Orders'!$C:$C,"Germany",'MAIN DATA, Orders'!$N:$N,"Einzelplan 60",'MAIN DATA, Orders'!$G:$G,"Armoured vehicle",'MAIN DATA, Orders'!$Q:$Q,$A34)/1000000000)</f>
        <v>0</v>
      </c>
    </row>
    <row r="35" spans="1:5">
      <c r="A35" s="72">
        <v>29</v>
      </c>
      <c r="B35" s="68">
        <v>44682</v>
      </c>
      <c r="C35" s="61">
        <f>(SUMIFS('MAIN DATA, Orders'!$M:$M,'MAIN DATA, Orders'!$C:$C,"Germany",'MAIN DATA, Orders'!$N:$N,"Einzelplan 14",'MAIN DATA, Orders'!$G:$G,"Armoured vehicle",'MAIN DATA, Orders'!$Q:$Q,$A35)/1000000000)</f>
        <v>0</v>
      </c>
      <c r="D35" s="61">
        <f>(SUMIFS('MAIN DATA, Orders'!$M:$M,'MAIN DATA, Orders'!$C:$C,"Germany",'MAIN DATA, Orders'!$N:$N,"Sondervermögen",'MAIN DATA, Orders'!$G:$G,"Armoured vehicle",'MAIN DATA, Orders'!$Q:$Q,$A35)/1000000000)</f>
        <v>0</v>
      </c>
      <c r="E35" s="61">
        <f>(SUMIFS('MAIN DATA, Orders'!$M:$M,'MAIN DATA, Orders'!$C:$C,"Germany",'MAIN DATA, Orders'!$N:$N,"Einzelplan 60",'MAIN DATA, Orders'!$G:$G,"Armoured vehicle",'MAIN DATA, Orders'!$Q:$Q,$A35)/1000000000)</f>
        <v>0</v>
      </c>
    </row>
    <row r="36" spans="1:5">
      <c r="A36" s="72">
        <v>30</v>
      </c>
      <c r="B36" s="68">
        <v>44713</v>
      </c>
      <c r="C36" s="61">
        <f>(SUMIFS('MAIN DATA, Orders'!$M:$M,'MAIN DATA, Orders'!$C:$C,"Germany",'MAIN DATA, Orders'!$N:$N,"Einzelplan 14",'MAIN DATA, Orders'!$G:$G,"Armoured vehicle",'MAIN DATA, Orders'!$Q:$Q,$A36)/1000000000)</f>
        <v>0</v>
      </c>
      <c r="D36" s="61">
        <f>(SUMIFS('MAIN DATA, Orders'!$M:$M,'MAIN DATA, Orders'!$C:$C,"Germany",'MAIN DATA, Orders'!$N:$N,"Sondervermögen",'MAIN DATA, Orders'!$G:$G,"Armoured vehicle",'MAIN DATA, Orders'!$Q:$Q,$A36)/1000000000)</f>
        <v>0</v>
      </c>
      <c r="E36" s="61">
        <f>(SUMIFS('MAIN DATA, Orders'!$M:$M,'MAIN DATA, Orders'!$C:$C,"Germany",'MAIN DATA, Orders'!$N:$N,"Einzelplan 60",'MAIN DATA, Orders'!$G:$G,"Armoured vehicle",'MAIN DATA, Orders'!$Q:$Q,$A36)/1000000000)</f>
        <v>0</v>
      </c>
    </row>
    <row r="37" spans="1:5">
      <c r="A37" s="72">
        <v>31</v>
      </c>
      <c r="B37" s="68">
        <v>44743</v>
      </c>
      <c r="C37" s="61">
        <f>(SUMIFS('MAIN DATA, Orders'!$M:$M,'MAIN DATA, Orders'!$C:$C,"Germany",'MAIN DATA, Orders'!$N:$N,"Einzelplan 14",'MAIN DATA, Orders'!$G:$G,"Armoured vehicle",'MAIN DATA, Orders'!$Q:$Q,$A37)/1000000000)</f>
        <v>0</v>
      </c>
      <c r="D37" s="61">
        <f>(SUMIFS('MAIN DATA, Orders'!$M:$M,'MAIN DATA, Orders'!$C:$C,"Germany",'MAIN DATA, Orders'!$N:$N,"Sondervermögen",'MAIN DATA, Orders'!$G:$G,"Armoured vehicle",'MAIN DATA, Orders'!$Q:$Q,$A37)/1000000000)</f>
        <v>0</v>
      </c>
      <c r="E37" s="61">
        <f>(SUMIFS('MAIN DATA, Orders'!$M:$M,'MAIN DATA, Orders'!$C:$C,"Germany",'MAIN DATA, Orders'!$N:$N,"Einzelplan 60",'MAIN DATA, Orders'!$G:$G,"Armoured vehicle",'MAIN DATA, Orders'!$Q:$Q,$A37)/1000000000)</f>
        <v>0</v>
      </c>
    </row>
    <row r="38" spans="1:5">
      <c r="A38" s="72">
        <v>32</v>
      </c>
      <c r="B38" s="68">
        <v>44774</v>
      </c>
      <c r="C38" s="61">
        <f>(SUMIFS('MAIN DATA, Orders'!$M:$M,'MAIN DATA, Orders'!$C:$C,"Germany",'MAIN DATA, Orders'!$N:$N,"Einzelplan 14",'MAIN DATA, Orders'!$G:$G,"Armoured vehicle",'MAIN DATA, Orders'!$Q:$Q,$A38)/1000000000)</f>
        <v>0</v>
      </c>
      <c r="D38" s="61">
        <f>(SUMIFS('MAIN DATA, Orders'!$M:$M,'MAIN DATA, Orders'!$C:$C,"Germany",'MAIN DATA, Orders'!$N:$N,"Sondervermögen",'MAIN DATA, Orders'!$G:$G,"Armoured vehicle",'MAIN DATA, Orders'!$Q:$Q,$A38)/1000000000)</f>
        <v>0</v>
      </c>
      <c r="E38" s="61">
        <f>(SUMIFS('MAIN DATA, Orders'!$M:$M,'MAIN DATA, Orders'!$C:$C,"Germany",'MAIN DATA, Orders'!$N:$N,"Einzelplan 60",'MAIN DATA, Orders'!$G:$G,"Armoured vehicle",'MAIN DATA, Orders'!$Q:$Q,$A38)/1000000000)</f>
        <v>0</v>
      </c>
    </row>
    <row r="39" spans="1:5">
      <c r="A39" s="72">
        <v>33</v>
      </c>
      <c r="B39" s="68">
        <v>44805</v>
      </c>
      <c r="C39" s="61">
        <f>(SUMIFS('MAIN DATA, Orders'!$M:$M,'MAIN DATA, Orders'!$C:$C,"Germany",'MAIN DATA, Orders'!$N:$N,"Einzelplan 14",'MAIN DATA, Orders'!$G:$G,"Armoured vehicle",'MAIN DATA, Orders'!$Q:$Q,$A39)/1000000000)</f>
        <v>0</v>
      </c>
      <c r="D39" s="61">
        <f>(SUMIFS('MAIN DATA, Orders'!$M:$M,'MAIN DATA, Orders'!$C:$C,"Germany",'MAIN DATA, Orders'!$N:$N,"Sondervermögen",'MAIN DATA, Orders'!$G:$G,"Armoured vehicle",'MAIN DATA, Orders'!$Q:$Q,$A39)/1000000000)</f>
        <v>0</v>
      </c>
      <c r="E39" s="61">
        <f>(SUMIFS('MAIN DATA, Orders'!$M:$M,'MAIN DATA, Orders'!$C:$C,"Germany",'MAIN DATA, Orders'!$N:$N,"Einzelplan 60",'MAIN DATA, Orders'!$G:$G,"Armoured vehicle",'MAIN DATA, Orders'!$Q:$Q,$A39)/1000000000)</f>
        <v>0</v>
      </c>
    </row>
    <row r="40" spans="1:5">
      <c r="A40" s="72">
        <v>34</v>
      </c>
      <c r="B40" s="68">
        <v>44835</v>
      </c>
      <c r="C40" s="61">
        <f>(SUMIFS('MAIN DATA, Orders'!$M:$M,'MAIN DATA, Orders'!$C:$C,"Germany",'MAIN DATA, Orders'!$N:$N,"Einzelplan 14",'MAIN DATA, Orders'!$G:$G,"Armoured vehicle",'MAIN DATA, Orders'!$Q:$Q,$A40)/1000000000)</f>
        <v>0</v>
      </c>
      <c r="D40" s="61">
        <f>(SUMIFS('MAIN DATA, Orders'!$M:$M,'MAIN DATA, Orders'!$C:$C,"Germany",'MAIN DATA, Orders'!$N:$N,"Sondervermögen",'MAIN DATA, Orders'!$G:$G,"Armoured vehicle",'MAIN DATA, Orders'!$Q:$Q,$A40)/1000000000)</f>
        <v>0</v>
      </c>
      <c r="E40" s="61">
        <f>(SUMIFS('MAIN DATA, Orders'!$M:$M,'MAIN DATA, Orders'!$C:$C,"Germany",'MAIN DATA, Orders'!$N:$N,"Einzelplan 60",'MAIN DATA, Orders'!$G:$G,"Armoured vehicle",'MAIN DATA, Orders'!$Q:$Q,$A40)/1000000000)</f>
        <v>0</v>
      </c>
    </row>
    <row r="41" spans="1:5">
      <c r="A41" s="72">
        <v>35</v>
      </c>
      <c r="B41" s="68">
        <v>44866</v>
      </c>
      <c r="C41" s="61">
        <f>(SUMIFS('MAIN DATA, Orders'!$M:$M,'MAIN DATA, Orders'!$C:$C,"Germany",'MAIN DATA, Orders'!$N:$N,"Einzelplan 14",'MAIN DATA, Orders'!$G:$G,"Armoured vehicle",'MAIN DATA, Orders'!$Q:$Q,$A41)/1000000000)</f>
        <v>0</v>
      </c>
      <c r="D41" s="61">
        <f>(SUMIFS('MAIN DATA, Orders'!$M:$M,'MAIN DATA, Orders'!$C:$C,"Germany",'MAIN DATA, Orders'!$N:$N,"Sondervermögen",'MAIN DATA, Orders'!$G:$G,"Armoured vehicle",'MAIN DATA, Orders'!$Q:$Q,$A41)/1000000000)</f>
        <v>0</v>
      </c>
      <c r="E41" s="61">
        <f>(SUMIFS('MAIN DATA, Orders'!$M:$M,'MAIN DATA, Orders'!$C:$C,"Germany",'MAIN DATA, Orders'!$N:$N,"Einzelplan 60",'MAIN DATA, Orders'!$G:$G,"Armoured vehicle",'MAIN DATA, Orders'!$Q:$Q,$A41)/1000000000)</f>
        <v>0</v>
      </c>
    </row>
    <row r="42" spans="1:5">
      <c r="A42" s="72">
        <v>36</v>
      </c>
      <c r="B42" s="68">
        <v>44896</v>
      </c>
      <c r="C42" s="61">
        <f>(SUMIFS('MAIN DATA, Orders'!$M:$M,'MAIN DATA, Orders'!$C:$C,"Germany",'MAIN DATA, Orders'!$N:$N,"Einzelplan 14",'MAIN DATA, Orders'!$G:$G,"Armoured vehicle",'MAIN DATA, Orders'!$Q:$Q,$A42)/1000000000)</f>
        <v>0</v>
      </c>
      <c r="D42" s="61">
        <f>(SUMIFS('MAIN DATA, Orders'!$M:$M,'MAIN DATA, Orders'!$C:$C,"Germany",'MAIN DATA, Orders'!$N:$N,"Sondervermögen",'MAIN DATA, Orders'!$G:$G,"Armoured vehicle",'MAIN DATA, Orders'!$Q:$Q,$A42)/1000000000)</f>
        <v>1.2549999999999999</v>
      </c>
      <c r="E42" s="61">
        <f>(SUMIFS('MAIN DATA, Orders'!$M:$M,'MAIN DATA, Orders'!$C:$C,"Germany",'MAIN DATA, Orders'!$N:$N,"Einzelplan 60",'MAIN DATA, Orders'!$G:$G,"Armoured vehicle",'MAIN DATA, Orders'!$Q:$Q,$A42)/1000000000)</f>
        <v>0</v>
      </c>
    </row>
    <row r="43" spans="1:5">
      <c r="A43" s="72">
        <v>37</v>
      </c>
      <c r="B43" s="68">
        <v>44927</v>
      </c>
      <c r="C43" s="61">
        <f>(SUMIFS('MAIN DATA, Orders'!$M:$M,'MAIN DATA, Orders'!$C:$C,"Germany",'MAIN DATA, Orders'!$N:$N,"Einzelplan 14",'MAIN DATA, Orders'!$G:$G,"Armoured vehicle",'MAIN DATA, Orders'!$Q:$Q,$A43)/1000000000)</f>
        <v>0</v>
      </c>
      <c r="D43" s="61">
        <f>(SUMIFS('MAIN DATA, Orders'!$M:$M,'MAIN DATA, Orders'!$C:$C,"Germany",'MAIN DATA, Orders'!$N:$N,"Sondervermögen",'MAIN DATA, Orders'!$G:$G,"Armoured vehicle",'MAIN DATA, Orders'!$Q:$Q,$A43)/1000000000)</f>
        <v>0</v>
      </c>
      <c r="E43" s="61">
        <f>(SUMIFS('MAIN DATA, Orders'!$M:$M,'MAIN DATA, Orders'!$C:$C,"Germany",'MAIN DATA, Orders'!$N:$N,"Einzelplan 60",'MAIN DATA, Orders'!$G:$G,"Armoured vehicle",'MAIN DATA, Orders'!$Q:$Q,$A43)/1000000000)</f>
        <v>0</v>
      </c>
    </row>
    <row r="44" spans="1:5">
      <c r="A44" s="72">
        <v>38</v>
      </c>
      <c r="B44" s="68">
        <v>44958</v>
      </c>
      <c r="C44" s="61">
        <f>(SUMIFS('MAIN DATA, Orders'!$M:$M,'MAIN DATA, Orders'!$C:$C,"Germany",'MAIN DATA, Orders'!$N:$N,"Einzelplan 14",'MAIN DATA, Orders'!$G:$G,"Armoured vehicle",'MAIN DATA, Orders'!$Q:$Q,$A44)/1000000000)</f>
        <v>0</v>
      </c>
      <c r="D44" s="61">
        <f>(SUMIFS('MAIN DATA, Orders'!$M:$M,'MAIN DATA, Orders'!$C:$C,"Germany",'MAIN DATA, Orders'!$N:$N,"Sondervermögen",'MAIN DATA, Orders'!$G:$G,"Armoured vehicle",'MAIN DATA, Orders'!$Q:$Q,$A44)/1000000000)</f>
        <v>0</v>
      </c>
      <c r="E44" s="61">
        <f>(SUMIFS('MAIN DATA, Orders'!$M:$M,'MAIN DATA, Orders'!$C:$C,"Germany",'MAIN DATA, Orders'!$N:$N,"Einzelplan 60",'MAIN DATA, Orders'!$G:$G,"Armoured vehicle",'MAIN DATA, Orders'!$Q:$Q,$A44)/1000000000)</f>
        <v>0</v>
      </c>
    </row>
    <row r="45" spans="1:5">
      <c r="A45" s="72">
        <v>39</v>
      </c>
      <c r="B45" s="68">
        <v>44986</v>
      </c>
      <c r="C45" s="61">
        <f>(SUMIFS('MAIN DATA, Orders'!$M:$M,'MAIN DATA, Orders'!$C:$C,"Germany",'MAIN DATA, Orders'!$N:$N,"Einzelplan 14",'MAIN DATA, Orders'!$G:$G,"Armoured vehicle",'MAIN DATA, Orders'!$Q:$Q,$A45)/1000000000)</f>
        <v>0.19620000000000001</v>
      </c>
      <c r="D45" s="61">
        <f>(SUMIFS('MAIN DATA, Orders'!$M:$M,'MAIN DATA, Orders'!$C:$C,"Germany",'MAIN DATA, Orders'!$N:$N,"Sondervermögen",'MAIN DATA, Orders'!$G:$G,"Armoured vehicle",'MAIN DATA, Orders'!$Q:$Q,$A45)/1000000000)</f>
        <v>0.91900000000000004</v>
      </c>
      <c r="E45" s="61">
        <f>(SUMIFS('MAIN DATA, Orders'!$M:$M,'MAIN DATA, Orders'!$C:$C,"Germany",'MAIN DATA, Orders'!$N:$N,"Einzelplan 60",'MAIN DATA, Orders'!$G:$G,"Armoured vehicle",'MAIN DATA, Orders'!$Q:$Q,$A45)/1000000000)</f>
        <v>0</v>
      </c>
    </row>
    <row r="46" spans="1:5">
      <c r="A46" s="72">
        <v>40</v>
      </c>
      <c r="B46" s="68">
        <v>45017</v>
      </c>
      <c r="C46" s="61">
        <f>(SUMIFS('MAIN DATA, Orders'!$M:$M,'MAIN DATA, Orders'!$C:$C,"Germany",'MAIN DATA, Orders'!$N:$N,"Einzelplan 14",'MAIN DATA, Orders'!$G:$G,"Armoured vehicle",'MAIN DATA, Orders'!$Q:$Q,$A46)/1000000000)</f>
        <v>0</v>
      </c>
      <c r="D46" s="61">
        <f>(SUMIFS('MAIN DATA, Orders'!$M:$M,'MAIN DATA, Orders'!$C:$C,"Germany",'MAIN DATA, Orders'!$N:$N,"Sondervermögen",'MAIN DATA, Orders'!$G:$G,"Armoured vehicle",'MAIN DATA, Orders'!$Q:$Q,$A46)/1000000000)</f>
        <v>0</v>
      </c>
      <c r="E46" s="61">
        <f>(SUMIFS('MAIN DATA, Orders'!$M:$M,'MAIN DATA, Orders'!$C:$C,"Germany",'MAIN DATA, Orders'!$N:$N,"Einzelplan 60",'MAIN DATA, Orders'!$G:$G,"Armoured vehicle",'MAIN DATA, Orders'!$Q:$Q,$A46)/1000000000)</f>
        <v>0</v>
      </c>
    </row>
    <row r="47" spans="1:5">
      <c r="A47" s="72">
        <v>41</v>
      </c>
      <c r="B47" s="68">
        <v>45047</v>
      </c>
      <c r="C47" s="61">
        <f>(SUMIFS('MAIN DATA, Orders'!$M:$M,'MAIN DATA, Orders'!$C:$C,"Germany",'MAIN DATA, Orders'!$N:$N,"Einzelplan 14",'MAIN DATA, Orders'!$G:$G,"Armoured vehicle",'MAIN DATA, Orders'!$Q:$Q,$A47)/1000000000)</f>
        <v>0</v>
      </c>
      <c r="D47" s="61">
        <f>(SUMIFS('MAIN DATA, Orders'!$M:$M,'MAIN DATA, Orders'!$C:$C,"Germany",'MAIN DATA, Orders'!$N:$N,"Sondervermögen",'MAIN DATA, Orders'!$G:$G,"Armoured vehicle",'MAIN DATA, Orders'!$Q:$Q,$A47)/1000000000)</f>
        <v>1.087</v>
      </c>
      <c r="E47" s="61">
        <f>(SUMIFS('MAIN DATA, Orders'!$M:$M,'MAIN DATA, Orders'!$C:$C,"Germany",'MAIN DATA, Orders'!$N:$N,"Einzelplan 60",'MAIN DATA, Orders'!$G:$G,"Armoured vehicle",'MAIN DATA, Orders'!$Q:$Q,$A47)/1000000000)</f>
        <v>0</v>
      </c>
    </row>
    <row r="48" spans="1:5">
      <c r="A48" s="72">
        <v>42</v>
      </c>
      <c r="B48" s="68">
        <v>45078</v>
      </c>
      <c r="C48" s="61">
        <f>(SUMIFS('MAIN DATA, Orders'!$M:$M,'MAIN DATA, Orders'!$C:$C,"Germany",'MAIN DATA, Orders'!$N:$N,"Einzelplan 14",'MAIN DATA, Orders'!$G:$G,"Armoured vehicle",'MAIN DATA, Orders'!$Q:$Q,$A48)/1000000000)</f>
        <v>0</v>
      </c>
      <c r="D48" s="61">
        <f>(SUMIFS('MAIN DATA, Orders'!$M:$M,'MAIN DATA, Orders'!$C:$C,"Germany",'MAIN DATA, Orders'!$N:$N,"Sondervermögen",'MAIN DATA, Orders'!$G:$G,"Armoured vehicle",'MAIN DATA, Orders'!$Q:$Q,$A48)/1000000000)</f>
        <v>0</v>
      </c>
      <c r="E48" s="61">
        <f>(SUMIFS('MAIN DATA, Orders'!$M:$M,'MAIN DATA, Orders'!$C:$C,"Germany",'MAIN DATA, Orders'!$N:$N,"Einzelplan 60",'MAIN DATA, Orders'!$G:$G,"Armoured vehicle",'MAIN DATA, Orders'!$Q:$Q,$A48)/1000000000)</f>
        <v>0</v>
      </c>
    </row>
    <row r="49" spans="1:5">
      <c r="A49" s="72">
        <v>43</v>
      </c>
      <c r="B49" s="68">
        <v>45108</v>
      </c>
      <c r="C49" s="61">
        <f>(SUMIFS('MAIN DATA, Orders'!$M:$M,'MAIN DATA, Orders'!$C:$C,"Germany",'MAIN DATA, Orders'!$N:$N,"Einzelplan 14",'MAIN DATA, Orders'!$G:$G,"Armoured vehicle",'MAIN DATA, Orders'!$Q:$Q,$A49)/1000000000)</f>
        <v>0</v>
      </c>
      <c r="D49" s="61">
        <f>(SUMIFS('MAIN DATA, Orders'!$M:$M,'MAIN DATA, Orders'!$C:$C,"Germany",'MAIN DATA, Orders'!$N:$N,"Sondervermögen",'MAIN DATA, Orders'!$G:$G,"Armoured vehicle",'MAIN DATA, Orders'!$Q:$Q,$A49)/1000000000)</f>
        <v>0.87</v>
      </c>
      <c r="E49" s="61">
        <f>(SUMIFS('MAIN DATA, Orders'!$M:$M,'MAIN DATA, Orders'!$C:$C,"Germany",'MAIN DATA, Orders'!$N:$N,"Einzelplan 60",'MAIN DATA, Orders'!$G:$G,"Armoured vehicle",'MAIN DATA, Orders'!$Q:$Q,$A49)/1000000000)</f>
        <v>0</v>
      </c>
    </row>
    <row r="50" spans="1:5">
      <c r="A50" s="72">
        <v>44</v>
      </c>
      <c r="B50" s="68">
        <v>45139</v>
      </c>
      <c r="C50" s="61">
        <f>(SUMIFS('MAIN DATA, Orders'!$M:$M,'MAIN DATA, Orders'!$C:$C,"Germany",'MAIN DATA, Orders'!$N:$N,"Einzelplan 14",'MAIN DATA, Orders'!$G:$G,"Armoured vehicle",'MAIN DATA, Orders'!$Q:$Q,$A50)/1000000000)</f>
        <v>0</v>
      </c>
      <c r="D50" s="61">
        <f>(SUMIFS('MAIN DATA, Orders'!$M:$M,'MAIN DATA, Orders'!$C:$C,"Germany",'MAIN DATA, Orders'!$N:$N,"Sondervermögen",'MAIN DATA, Orders'!$G:$G,"Armoured vehicle",'MAIN DATA, Orders'!$Q:$Q,$A50)/1000000000)</f>
        <v>0</v>
      </c>
      <c r="E50" s="61">
        <f>(SUMIFS('MAIN DATA, Orders'!$M:$M,'MAIN DATA, Orders'!$C:$C,"Germany",'MAIN DATA, Orders'!$N:$N,"Einzelplan 60",'MAIN DATA, Orders'!$G:$G,"Armoured vehicle",'MAIN DATA, Orders'!$Q:$Q,$A50)/1000000000)</f>
        <v>0</v>
      </c>
    </row>
    <row r="51" spans="1:5">
      <c r="A51" s="72">
        <v>45</v>
      </c>
      <c r="B51" s="68">
        <v>45170</v>
      </c>
      <c r="C51" s="61">
        <f>(SUMIFS('MAIN DATA, Orders'!$M:$M,'MAIN DATA, Orders'!$C:$C,"Germany",'MAIN DATA, Orders'!$N:$N,"Einzelplan 14",'MAIN DATA, Orders'!$G:$G,"Armoured vehicle",'MAIN DATA, Orders'!$Q:$Q,$A51)/1000000000)</f>
        <v>0</v>
      </c>
      <c r="D51" s="61">
        <f>(SUMIFS('MAIN DATA, Orders'!$M:$M,'MAIN DATA, Orders'!$C:$C,"Germany",'MAIN DATA, Orders'!$N:$N,"Sondervermögen",'MAIN DATA, Orders'!$G:$G,"Armoured vehicle",'MAIN DATA, Orders'!$Q:$Q,$A51)/1000000000)</f>
        <v>0</v>
      </c>
      <c r="E51" s="61">
        <f>(SUMIFS('MAIN DATA, Orders'!$M:$M,'MAIN DATA, Orders'!$C:$C,"Germany",'MAIN DATA, Orders'!$N:$N,"Einzelplan 60",'MAIN DATA, Orders'!$G:$G,"Armoured vehicle",'MAIN DATA, Orders'!$Q:$Q,$A51)/1000000000)</f>
        <v>0</v>
      </c>
    </row>
    <row r="52" spans="1:5">
      <c r="A52" s="72">
        <v>46</v>
      </c>
      <c r="B52" s="68">
        <v>45200</v>
      </c>
      <c r="C52" s="61">
        <f>(SUMIFS('MAIN DATA, Orders'!$M:$M,'MAIN DATA, Orders'!$C:$C,"Germany",'MAIN DATA, Orders'!$N:$N,"Einzelplan 14",'MAIN DATA, Orders'!$G:$G,"Armoured vehicle",'MAIN DATA, Orders'!$Q:$Q,$A52)/1000000000)</f>
        <v>0</v>
      </c>
      <c r="D52" s="61">
        <f>(SUMIFS('MAIN DATA, Orders'!$M:$M,'MAIN DATA, Orders'!$C:$C,"Germany",'MAIN DATA, Orders'!$N:$N,"Sondervermögen",'MAIN DATA, Orders'!$G:$G,"Armoured vehicle",'MAIN DATA, Orders'!$Q:$Q,$A52)/1000000000)</f>
        <v>0</v>
      </c>
      <c r="E52" s="61">
        <f>(SUMIFS('MAIN DATA, Orders'!$M:$M,'MAIN DATA, Orders'!$C:$C,"Germany",'MAIN DATA, Orders'!$N:$N,"Einzelplan 60",'MAIN DATA, Orders'!$G:$G,"Armoured vehicle",'MAIN DATA, Orders'!$Q:$Q,$A52)/1000000000)</f>
        <v>0</v>
      </c>
    </row>
    <row r="53" spans="1:5">
      <c r="A53" s="72">
        <v>47</v>
      </c>
      <c r="B53" s="68">
        <v>45231</v>
      </c>
      <c r="C53" s="61">
        <f>(SUMIFS('MAIN DATA, Orders'!$M:$M,'MAIN DATA, Orders'!$C:$C,"Germany",'MAIN DATA, Orders'!$N:$N,"Einzelplan 14",'MAIN DATA, Orders'!$G:$G,"Armoured vehicle",'MAIN DATA, Orders'!$Q:$Q,$A53)/1000000000)</f>
        <v>0</v>
      </c>
      <c r="D53" s="61">
        <f>(SUMIFS('MAIN DATA, Orders'!$M:$M,'MAIN DATA, Orders'!$C:$C,"Germany",'MAIN DATA, Orders'!$N:$N,"Sondervermögen",'MAIN DATA, Orders'!$G:$G,"Armoured vehicle",'MAIN DATA, Orders'!$Q:$Q,$A53)/1000000000)</f>
        <v>0</v>
      </c>
      <c r="E53" s="61">
        <f>(SUMIFS('MAIN DATA, Orders'!$M:$M,'MAIN DATA, Orders'!$C:$C,"Germany",'MAIN DATA, Orders'!$N:$N,"Einzelplan 60",'MAIN DATA, Orders'!$G:$G,"Armoured vehicle",'MAIN DATA, Orders'!$Q:$Q,$A53)/1000000000)</f>
        <v>0.15</v>
      </c>
    </row>
    <row r="54" spans="1:5">
      <c r="A54" s="72">
        <v>48</v>
      </c>
      <c r="B54" s="68">
        <v>45261</v>
      </c>
      <c r="C54" s="61">
        <f>(SUMIFS('MAIN DATA, Orders'!$M:$M,'MAIN DATA, Orders'!$C:$C,"Germany",'MAIN DATA, Orders'!$N:$N,"Einzelplan 14",'MAIN DATA, Orders'!$G:$G,"Armoured vehicle",'MAIN DATA, Orders'!$Q:$Q,$A54)/1000000000)</f>
        <v>0</v>
      </c>
      <c r="D54" s="61">
        <f>(SUMIFS('MAIN DATA, Orders'!$M:$M,'MAIN DATA, Orders'!$C:$C,"Germany",'MAIN DATA, Orders'!$N:$N,"Sondervermögen",'MAIN DATA, Orders'!$G:$G,"Armoured vehicle",'MAIN DATA, Orders'!$Q:$Q,$A54)/1000000000)</f>
        <v>6.4000000000000001E-2</v>
      </c>
      <c r="E54" s="61">
        <f>(SUMIFS('MAIN DATA, Orders'!$M:$M,'MAIN DATA, Orders'!$C:$C,"Germany",'MAIN DATA, Orders'!$N:$N,"Einzelplan 60",'MAIN DATA, Orders'!$G:$G,"Armoured vehicle",'MAIN DATA, Orders'!$Q:$Q,$A54)/1000000000)</f>
        <v>0</v>
      </c>
    </row>
    <row r="55" spans="1:5">
      <c r="A55" s="72">
        <v>49</v>
      </c>
      <c r="B55" s="68">
        <v>45292</v>
      </c>
      <c r="C55" s="61">
        <f>(SUMIFS('MAIN DATA, Orders'!$M:$M,'MAIN DATA, Orders'!$C:$C,"Germany",'MAIN DATA, Orders'!$N:$N,"Einzelplan 14",'MAIN DATA, Orders'!$G:$G,"Armoured vehicle",'MAIN DATA, Orders'!$Q:$Q,$A55)/1000000000)</f>
        <v>0</v>
      </c>
      <c r="D55" s="61">
        <f>(SUMIFS('MAIN DATA, Orders'!$M:$M,'MAIN DATA, Orders'!$C:$C,"Germany",'MAIN DATA, Orders'!$N:$N,"Sondervermögen",'MAIN DATA, Orders'!$G:$G,"Armoured vehicle",'MAIN DATA, Orders'!$Q:$Q,$A55)/1000000000)</f>
        <v>0</v>
      </c>
      <c r="E55" s="61">
        <f>(SUMIFS('MAIN DATA, Orders'!$M:$M,'MAIN DATA, Orders'!$C:$C,"Germany",'MAIN DATA, Orders'!$N:$N,"Einzelplan 60",'MAIN DATA, Orders'!$G:$G,"Armoured vehicle",'MAIN DATA, Orders'!$Q:$Q,$A55)/1000000000)</f>
        <v>0</v>
      </c>
    </row>
    <row r="56" spans="1:5">
      <c r="A56" s="72">
        <v>50</v>
      </c>
      <c r="B56" s="68">
        <v>45323</v>
      </c>
      <c r="C56" s="61">
        <f>(SUMIFS('MAIN DATA, Orders'!$M:$M,'MAIN DATA, Orders'!$C:$C,"Germany",'MAIN DATA, Orders'!$N:$N,"Einzelplan 14",'MAIN DATA, Orders'!$G:$G,"Armoured vehicle",'MAIN DATA, Orders'!$Q:$Q,$A56)/1000000000)</f>
        <v>0</v>
      </c>
      <c r="D56" s="61">
        <f>(SUMIFS('MAIN DATA, Orders'!$M:$M,'MAIN DATA, Orders'!$C:$C,"Germany",'MAIN DATA, Orders'!$N:$N,"Sondervermögen",'MAIN DATA, Orders'!$G:$G,"Armoured vehicle",'MAIN DATA, Orders'!$Q:$Q,$A56)/1000000000)</f>
        <v>0</v>
      </c>
      <c r="E56" s="61">
        <f>(SUMIFS('MAIN DATA, Orders'!$M:$M,'MAIN DATA, Orders'!$C:$C,"Germany",'MAIN DATA, Orders'!$N:$N,"Einzelplan 60",'MAIN DATA, Orders'!$G:$G,"Armoured vehicle",'MAIN DATA, Orders'!$Q:$Q,$A56)/1000000000)</f>
        <v>0</v>
      </c>
    </row>
    <row r="57" spans="1:5">
      <c r="A57" s="72">
        <v>51</v>
      </c>
      <c r="B57" s="68">
        <v>45352</v>
      </c>
      <c r="C57" s="61">
        <f>(SUMIFS('MAIN DATA, Orders'!$M:$M,'MAIN DATA, Orders'!$C:$C,"Germany",'MAIN DATA, Orders'!$N:$N,"Einzelplan 14",'MAIN DATA, Orders'!$G:$G,"Armoured vehicle",'MAIN DATA, Orders'!$Q:$Q,$A57)/1000000000)</f>
        <v>0</v>
      </c>
      <c r="D57" s="61">
        <f>(SUMIFS('MAIN DATA, Orders'!$M:$M,'MAIN DATA, Orders'!$C:$C,"Germany",'MAIN DATA, Orders'!$N:$N,"Sondervermögen",'MAIN DATA, Orders'!$G:$G,"Armoured vehicle",'MAIN DATA, Orders'!$Q:$Q,$A57)/1000000000)</f>
        <v>1.94</v>
      </c>
      <c r="E57" s="61">
        <f>(SUMIFS('MAIN DATA, Orders'!$M:$M,'MAIN DATA, Orders'!$C:$C,"Germany",'MAIN DATA, Orders'!$N:$N,"Einzelplan 60",'MAIN DATA, Orders'!$G:$G,"Armoured vehicle",'MAIN DATA, Orders'!$Q:$Q,$A57)/1000000000)</f>
        <v>0</v>
      </c>
    </row>
    <row r="58" spans="1:5">
      <c r="A58" s="72">
        <v>52</v>
      </c>
      <c r="B58" s="68">
        <v>45383</v>
      </c>
      <c r="C58" s="61">
        <f>(SUMIFS('MAIN DATA, Orders'!$M:$M,'MAIN DATA, Orders'!$C:$C,"Germany",'MAIN DATA, Orders'!$N:$N,"Einzelplan 14",'MAIN DATA, Orders'!$G:$G,"Armoured vehicle",'MAIN DATA, Orders'!$Q:$Q,$A58)/1000000000)</f>
        <v>0</v>
      </c>
      <c r="D58" s="61">
        <f>(SUMIFS('MAIN DATA, Orders'!$M:$M,'MAIN DATA, Orders'!$C:$C,"Germany",'MAIN DATA, Orders'!$N:$N,"Sondervermögen",'MAIN DATA, Orders'!$G:$G,"Armoured vehicle",'MAIN DATA, Orders'!$Q:$Q,$A58)/1000000000)</f>
        <v>0.109</v>
      </c>
      <c r="E58" s="61">
        <f>(SUMIFS('MAIN DATA, Orders'!$M:$M,'MAIN DATA, Orders'!$C:$C,"Germany",'MAIN DATA, Orders'!$N:$N,"Einzelplan 60",'MAIN DATA, Orders'!$G:$G,"Armoured vehicle",'MAIN DATA, Orders'!$Q:$Q,$A58)/1000000000)</f>
        <v>0</v>
      </c>
    </row>
    <row r="59" spans="1:5">
      <c r="A59" s="72">
        <v>53</v>
      </c>
      <c r="B59" s="68">
        <v>45413</v>
      </c>
      <c r="C59" s="61">
        <f>(SUMIFS('MAIN DATA, Orders'!$M:$M,'MAIN DATA, Orders'!$C:$C,"Germany",'MAIN DATA, Orders'!$N:$N,"Einzelplan 14",'MAIN DATA, Orders'!$G:$G,"Armoured vehicle",'MAIN DATA, Orders'!$Q:$Q,$A59)/1000000000)</f>
        <v>0</v>
      </c>
      <c r="D59" s="61">
        <f>(SUMIFS('MAIN DATA, Orders'!$M:$M,'MAIN DATA, Orders'!$C:$C,"Germany",'MAIN DATA, Orders'!$N:$N,"Sondervermögen",'MAIN DATA, Orders'!$G:$G,"Armoured vehicle",'MAIN DATA, Orders'!$Q:$Q,$A59)/1000000000)</f>
        <v>0</v>
      </c>
      <c r="E59" s="61">
        <f>(SUMIFS('MAIN DATA, Orders'!$M:$M,'MAIN DATA, Orders'!$C:$C,"Germany",'MAIN DATA, Orders'!$N:$N,"Einzelplan 60",'MAIN DATA, Orders'!$G:$G,"Armoured vehicle",'MAIN DATA, Orders'!$Q:$Q,$A59)/1000000000)</f>
        <v>0</v>
      </c>
    </row>
    <row r="60" spans="1:5">
      <c r="A60" s="72">
        <v>54</v>
      </c>
      <c r="B60" s="68">
        <v>45444</v>
      </c>
      <c r="C60" s="61">
        <f>(SUMIFS('MAIN DATA, Orders'!$M:$M,'MAIN DATA, Orders'!$C:$C,"Germany",'MAIN DATA, Orders'!$N:$N,"Einzelplan 14",'MAIN DATA, Orders'!$G:$G,"Armoured vehicle",'MAIN DATA, Orders'!$Q:$Q,$A60)/1000000000)</f>
        <v>0</v>
      </c>
      <c r="D60" s="61">
        <f>(SUMIFS('MAIN DATA, Orders'!$M:$M,'MAIN DATA, Orders'!$C:$C,"Germany",'MAIN DATA, Orders'!$N:$N,"Sondervermögen",'MAIN DATA, Orders'!$G:$G,"Armoured vehicle",'MAIN DATA, Orders'!$Q:$Q,$A60)/1000000000)</f>
        <v>8.5999999999999993E-2</v>
      </c>
      <c r="E60" s="61">
        <f>(SUMIFS('MAIN DATA, Orders'!$M:$M,'MAIN DATA, Orders'!$C:$C,"Germany",'MAIN DATA, Orders'!$N:$N,"Einzelplan 60",'MAIN DATA, Orders'!$G:$G,"Armoured vehicle",'MAIN DATA, Orders'!$Q:$Q,$A60)/1000000000)</f>
        <v>0</v>
      </c>
    </row>
    <row r="61" spans="1:5">
      <c r="A61" s="72">
        <v>55</v>
      </c>
      <c r="B61" s="155">
        <v>45474</v>
      </c>
      <c r="C61" s="159">
        <f>(SUMIFS('MAIN DATA, Orders'!$M:$M,'MAIN DATA, Orders'!$C:$C,"Germany",'MAIN DATA, Orders'!$N:$N,"Einzelplan 14",'MAIN DATA, Orders'!$G:$G,"Armoured vehicle",'MAIN DATA, Orders'!$Q:$Q,$A61)/1000000000)</f>
        <v>0</v>
      </c>
      <c r="D61" s="159">
        <f>(SUMIFS('MAIN DATA, Orders'!$M:$M,'MAIN DATA, Orders'!$C:$C,"Germany",'MAIN DATA, Orders'!$N:$N,"Sondervermögen",'MAIN DATA, Orders'!$G:$G,"Armoured vehicle",'MAIN DATA, Orders'!$Q:$Q,$A61)/1000000000)</f>
        <v>0</v>
      </c>
      <c r="E61" s="159">
        <f>(SUMIFS('MAIN DATA, Orders'!$M:$M,'MAIN DATA, Orders'!$C:$C,"Germany",'MAIN DATA, Orders'!$N:$N,"Einzelplan 60",'MAIN DATA, Orders'!$G:$G,"Armoured vehicle",'MAIN DATA, Orders'!$Q:$Q,$A61)/1000000000)</f>
        <v>0</v>
      </c>
    </row>
    <row r="62" spans="1:5">
      <c r="A62" s="199"/>
      <c r="B62" s="199"/>
      <c r="C62" s="199"/>
      <c r="D62" s="199"/>
      <c r="E62" s="199"/>
    </row>
    <row r="63" spans="1:5">
      <c r="A63" s="199"/>
      <c r="B63" s="69" t="s">
        <v>1431</v>
      </c>
      <c r="C63" s="69">
        <f>SUM(C7:C61)</f>
        <v>1.7501999999999998</v>
      </c>
      <c r="D63" s="69">
        <f>SUM(D7:D61)</f>
        <v>6.33</v>
      </c>
      <c r="E63" s="69">
        <f>SUM(E7:E61)</f>
        <v>0.15</v>
      </c>
    </row>
  </sheetData>
  <mergeCells count="1">
    <mergeCell ref="B4:F4"/>
  </mergeCell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2578E-1D26-4DCB-BA48-2232A091BDFD}">
  <sheetPr>
    <tabColor theme="9" tint="0.59999389629810485"/>
  </sheetPr>
  <dimension ref="A2:G63"/>
  <sheetViews>
    <sheetView workbookViewId="0"/>
  </sheetViews>
  <sheetFormatPr defaultColWidth="8.69921875" defaultRowHeight="15.6"/>
  <cols>
    <col min="1" max="1" width="8.69921875" style="1"/>
    <col min="2" max="2" width="13.5" style="1" customWidth="1"/>
    <col min="3" max="3" width="20.69921875" style="1" bestFit="1" customWidth="1"/>
    <col min="4" max="4" width="23.69921875" style="1" bestFit="1" customWidth="1"/>
    <col min="5" max="5" width="20.69921875" style="1" bestFit="1" customWidth="1"/>
    <col min="6" max="16384" width="8.69921875" style="1"/>
  </cols>
  <sheetData>
    <row r="2" spans="1:7" ht="25.2">
      <c r="B2" s="67" t="s">
        <v>1681</v>
      </c>
    </row>
    <row r="4" spans="1:7" ht="130.19999999999999" customHeight="1">
      <c r="B4" s="207" t="s">
        <v>1682</v>
      </c>
      <c r="C4" s="207"/>
      <c r="D4" s="207"/>
      <c r="E4" s="207"/>
      <c r="F4" s="207"/>
      <c r="G4" s="207"/>
    </row>
    <row r="6" spans="1:7" ht="21" customHeight="1">
      <c r="A6" s="199"/>
      <c r="B6" s="161" t="s">
        <v>1404</v>
      </c>
      <c r="C6" s="162" t="s">
        <v>165</v>
      </c>
      <c r="D6" s="162" t="s">
        <v>665</v>
      </c>
      <c r="E6" s="162" t="s">
        <v>784</v>
      </c>
    </row>
    <row r="7" spans="1:7">
      <c r="A7" s="72">
        <v>1</v>
      </c>
      <c r="B7" s="68">
        <v>43831</v>
      </c>
      <c r="C7" s="17">
        <f>(SUMIFS('MAIN DATA, Orders'!$I:$I,'MAIN DATA, Orders'!$C:$C,"Germany",'MAIN DATA, Orders'!$N:$N,"Einzelplan 14",'MAIN DATA, Orders'!$G:$G,"Armoured vehicle",'MAIN DATA, Orders'!$Q:$Q,$A7))</f>
        <v>0</v>
      </c>
      <c r="D7" s="17">
        <f>(SUMIFS('MAIN DATA, Orders'!$I:$I,'MAIN DATA, Orders'!$C:$C,"Germany",'MAIN DATA, Orders'!$N:$N,"Sondervermögen",'MAIN DATA, Orders'!$G:$G,"Armoured vehicle",'MAIN DATA, Orders'!$Q:$Q,$A7))</f>
        <v>0</v>
      </c>
      <c r="E7" s="17">
        <f>(SUMIFS('MAIN DATA, Orders'!$I:$I,'MAIN DATA, Orders'!$C:$C,"Germany",'MAIN DATA, Orders'!$N:$N,"Einzelplan 60",'MAIN DATA, Orders'!$G:$G,"Armoured vehicle",'MAIN DATA, Orders'!$Q:$Q,$A7))</f>
        <v>0</v>
      </c>
    </row>
    <row r="8" spans="1:7">
      <c r="A8" s="72">
        <v>2</v>
      </c>
      <c r="B8" s="68">
        <v>43862</v>
      </c>
      <c r="C8" s="17">
        <f>(SUMIFS('MAIN DATA, Orders'!$I:$I,'MAIN DATA, Orders'!$C:$C,"Germany",'MAIN DATA, Orders'!$N:$N,"Einzelplan 14",'MAIN DATA, Orders'!$G:$G,"Armoured vehicle",'MAIN DATA, Orders'!$Q:$Q,$A8))</f>
        <v>0</v>
      </c>
      <c r="D8" s="17">
        <f>(SUMIFS('MAIN DATA, Orders'!$I:$I,'MAIN DATA, Orders'!$C:$C,"Germany",'MAIN DATA, Orders'!$N:$N,"Sondervermögen",'MAIN DATA, Orders'!$G:$G,"Armoured vehicle",'MAIN DATA, Orders'!$Q:$Q,$A8))</f>
        <v>0</v>
      </c>
      <c r="E8" s="17">
        <f>(SUMIFS('MAIN DATA, Orders'!$I:$I,'MAIN DATA, Orders'!$C:$C,"Germany",'MAIN DATA, Orders'!$N:$N,"Einzelplan 60",'MAIN DATA, Orders'!$G:$G,"Armoured vehicle",'MAIN DATA, Orders'!$Q:$Q,$A8))</f>
        <v>0</v>
      </c>
    </row>
    <row r="9" spans="1:7">
      <c r="A9" s="72">
        <v>3</v>
      </c>
      <c r="B9" s="68">
        <v>43891</v>
      </c>
      <c r="C9" s="17">
        <f>(SUMIFS('MAIN DATA, Orders'!$I:$I,'MAIN DATA, Orders'!$C:$C,"Germany",'MAIN DATA, Orders'!$N:$N,"Einzelplan 14",'MAIN DATA, Orders'!$G:$G,"Armoured vehicle",'MAIN DATA, Orders'!$Q:$Q,$A9))</f>
        <v>0</v>
      </c>
      <c r="D9" s="17">
        <f>(SUMIFS('MAIN DATA, Orders'!$I:$I,'MAIN DATA, Orders'!$C:$C,"Germany",'MAIN DATA, Orders'!$N:$N,"Sondervermögen",'MAIN DATA, Orders'!$G:$G,"Armoured vehicle",'MAIN DATA, Orders'!$Q:$Q,$A9))</f>
        <v>0</v>
      </c>
      <c r="E9" s="17">
        <f>(SUMIFS('MAIN DATA, Orders'!$I:$I,'MAIN DATA, Orders'!$C:$C,"Germany",'MAIN DATA, Orders'!$N:$N,"Einzelplan 60",'MAIN DATA, Orders'!$G:$G,"Armoured vehicle",'MAIN DATA, Orders'!$Q:$Q,$A9))</f>
        <v>0</v>
      </c>
    </row>
    <row r="10" spans="1:7">
      <c r="A10" s="72">
        <v>4</v>
      </c>
      <c r="B10" s="68">
        <v>43922</v>
      </c>
      <c r="C10" s="17">
        <f>(SUMIFS('MAIN DATA, Orders'!$I:$I,'MAIN DATA, Orders'!$C:$C,"Germany",'MAIN DATA, Orders'!$N:$N,"Einzelplan 14",'MAIN DATA, Orders'!$G:$G,"Armoured vehicle",'MAIN DATA, Orders'!$Q:$Q,$A10))</f>
        <v>0</v>
      </c>
      <c r="D10" s="17">
        <f>(SUMIFS('MAIN DATA, Orders'!$I:$I,'MAIN DATA, Orders'!$C:$C,"Germany",'MAIN DATA, Orders'!$N:$N,"Sondervermögen",'MAIN DATA, Orders'!$G:$G,"Armoured vehicle",'MAIN DATA, Orders'!$Q:$Q,$A10))</f>
        <v>0</v>
      </c>
      <c r="E10" s="17">
        <f>(SUMIFS('MAIN DATA, Orders'!$I:$I,'MAIN DATA, Orders'!$C:$C,"Germany",'MAIN DATA, Orders'!$N:$N,"Einzelplan 60",'MAIN DATA, Orders'!$G:$G,"Armoured vehicle",'MAIN DATA, Orders'!$Q:$Q,$A10))</f>
        <v>0</v>
      </c>
    </row>
    <row r="11" spans="1:7">
      <c r="A11" s="72">
        <v>5</v>
      </c>
      <c r="B11" s="68">
        <v>43952</v>
      </c>
      <c r="C11" s="17">
        <f>(SUMIFS('MAIN DATA, Orders'!$I:$I,'MAIN DATA, Orders'!$C:$C,"Germany",'MAIN DATA, Orders'!$N:$N,"Einzelplan 14",'MAIN DATA, Orders'!$G:$G,"Armoured vehicle",'MAIN DATA, Orders'!$Q:$Q,$A11))</f>
        <v>0</v>
      </c>
      <c r="D11" s="17">
        <f>(SUMIFS('MAIN DATA, Orders'!$I:$I,'MAIN DATA, Orders'!$C:$C,"Germany",'MAIN DATA, Orders'!$N:$N,"Sondervermögen",'MAIN DATA, Orders'!$G:$G,"Armoured vehicle",'MAIN DATA, Orders'!$Q:$Q,$A11))</f>
        <v>0</v>
      </c>
      <c r="E11" s="17">
        <f>(SUMIFS('MAIN DATA, Orders'!$I:$I,'MAIN DATA, Orders'!$C:$C,"Germany",'MAIN DATA, Orders'!$N:$N,"Einzelplan 60",'MAIN DATA, Orders'!$G:$G,"Armoured vehicle",'MAIN DATA, Orders'!$Q:$Q,$A11))</f>
        <v>0</v>
      </c>
    </row>
    <row r="12" spans="1:7">
      <c r="A12" s="72">
        <v>6</v>
      </c>
      <c r="B12" s="68">
        <v>43983</v>
      </c>
      <c r="C12" s="17">
        <f>(SUMIFS('MAIN DATA, Orders'!$I:$I,'MAIN DATA, Orders'!$C:$C,"Germany",'MAIN DATA, Orders'!$N:$N,"Einzelplan 14",'MAIN DATA, Orders'!$G:$G,"Armoured vehicle",'MAIN DATA, Orders'!$Q:$Q,$A12))</f>
        <v>0</v>
      </c>
      <c r="D12" s="17">
        <f>(SUMIFS('MAIN DATA, Orders'!$I:$I,'MAIN DATA, Orders'!$C:$C,"Germany",'MAIN DATA, Orders'!$N:$N,"Sondervermögen",'MAIN DATA, Orders'!$G:$G,"Armoured vehicle",'MAIN DATA, Orders'!$Q:$Q,$A12))</f>
        <v>0</v>
      </c>
      <c r="E12" s="17">
        <f>(SUMIFS('MAIN DATA, Orders'!$I:$I,'MAIN DATA, Orders'!$C:$C,"Germany",'MAIN DATA, Orders'!$N:$N,"Einzelplan 60",'MAIN DATA, Orders'!$G:$G,"Armoured vehicle",'MAIN DATA, Orders'!$Q:$Q,$A12))</f>
        <v>0</v>
      </c>
    </row>
    <row r="13" spans="1:7">
      <c r="A13" s="72">
        <v>7</v>
      </c>
      <c r="B13" s="68">
        <v>44013</v>
      </c>
      <c r="C13" s="17">
        <f>(SUMIFS('MAIN DATA, Orders'!$I:$I,'MAIN DATA, Orders'!$C:$C,"Germany",'MAIN DATA, Orders'!$N:$N,"Einzelplan 14",'MAIN DATA, Orders'!$G:$G,"Armoured vehicle",'MAIN DATA, Orders'!$Q:$Q,$A13))</f>
        <v>0</v>
      </c>
      <c r="D13" s="17">
        <f>(SUMIFS('MAIN DATA, Orders'!$I:$I,'MAIN DATA, Orders'!$C:$C,"Germany",'MAIN DATA, Orders'!$N:$N,"Sondervermögen",'MAIN DATA, Orders'!$G:$G,"Armoured vehicle",'MAIN DATA, Orders'!$Q:$Q,$A13))</f>
        <v>0</v>
      </c>
      <c r="E13" s="17">
        <f>(SUMIFS('MAIN DATA, Orders'!$I:$I,'MAIN DATA, Orders'!$C:$C,"Germany",'MAIN DATA, Orders'!$N:$N,"Einzelplan 60",'MAIN DATA, Orders'!$G:$G,"Armoured vehicle",'MAIN DATA, Orders'!$Q:$Q,$A13))</f>
        <v>0</v>
      </c>
    </row>
    <row r="14" spans="1:7">
      <c r="A14" s="72">
        <v>8</v>
      </c>
      <c r="B14" s="68">
        <v>44044</v>
      </c>
      <c r="C14" s="17">
        <f>(SUMIFS('MAIN DATA, Orders'!$I:$I,'MAIN DATA, Orders'!$C:$C,"Germany",'MAIN DATA, Orders'!$N:$N,"Einzelplan 14",'MAIN DATA, Orders'!$G:$G,"Armoured vehicle",'MAIN DATA, Orders'!$Q:$Q,$A14))</f>
        <v>0</v>
      </c>
      <c r="D14" s="17">
        <f>(SUMIFS('MAIN DATA, Orders'!$I:$I,'MAIN DATA, Orders'!$C:$C,"Germany",'MAIN DATA, Orders'!$N:$N,"Sondervermögen",'MAIN DATA, Orders'!$G:$G,"Armoured vehicle",'MAIN DATA, Orders'!$Q:$Q,$A14))</f>
        <v>0</v>
      </c>
      <c r="E14" s="17">
        <f>(SUMIFS('MAIN DATA, Orders'!$I:$I,'MAIN DATA, Orders'!$C:$C,"Germany",'MAIN DATA, Orders'!$N:$N,"Einzelplan 60",'MAIN DATA, Orders'!$G:$G,"Armoured vehicle",'MAIN DATA, Orders'!$Q:$Q,$A14))</f>
        <v>0</v>
      </c>
    </row>
    <row r="15" spans="1:7">
      <c r="A15" s="72">
        <v>9</v>
      </c>
      <c r="B15" s="68">
        <v>44075</v>
      </c>
      <c r="C15" s="17">
        <f>(SUMIFS('MAIN DATA, Orders'!$I:$I,'MAIN DATA, Orders'!$C:$C,"Germany",'MAIN DATA, Orders'!$N:$N,"Einzelplan 14",'MAIN DATA, Orders'!$G:$G,"Armoured vehicle",'MAIN DATA, Orders'!$Q:$Q,$A15))</f>
        <v>0</v>
      </c>
      <c r="D15" s="17">
        <f>(SUMIFS('MAIN DATA, Orders'!$I:$I,'MAIN DATA, Orders'!$C:$C,"Germany",'MAIN DATA, Orders'!$N:$N,"Sondervermögen",'MAIN DATA, Orders'!$G:$G,"Armoured vehicle",'MAIN DATA, Orders'!$Q:$Q,$A15))</f>
        <v>0</v>
      </c>
      <c r="E15" s="17">
        <f>(SUMIFS('MAIN DATA, Orders'!$I:$I,'MAIN DATA, Orders'!$C:$C,"Germany",'MAIN DATA, Orders'!$N:$N,"Einzelplan 60",'MAIN DATA, Orders'!$G:$G,"Armoured vehicle",'MAIN DATA, Orders'!$Q:$Q,$A15))</f>
        <v>0</v>
      </c>
    </row>
    <row r="16" spans="1:7">
      <c r="A16" s="72">
        <v>10</v>
      </c>
      <c r="B16" s="68">
        <v>44105</v>
      </c>
      <c r="C16" s="17">
        <f>(SUMIFS('MAIN DATA, Orders'!$I:$I,'MAIN DATA, Orders'!$C:$C,"Germany",'MAIN DATA, Orders'!$N:$N,"Einzelplan 14",'MAIN DATA, Orders'!$G:$G,"Armoured vehicle",'MAIN DATA, Orders'!$Q:$Q,$A16))</f>
        <v>0</v>
      </c>
      <c r="D16" s="17">
        <f>(SUMIFS('MAIN DATA, Orders'!$I:$I,'MAIN DATA, Orders'!$C:$C,"Germany",'MAIN DATA, Orders'!$N:$N,"Sondervermögen",'MAIN DATA, Orders'!$G:$G,"Armoured vehicle",'MAIN DATA, Orders'!$Q:$Q,$A16))</f>
        <v>0</v>
      </c>
      <c r="E16" s="17">
        <f>(SUMIFS('MAIN DATA, Orders'!$I:$I,'MAIN DATA, Orders'!$C:$C,"Germany",'MAIN DATA, Orders'!$N:$N,"Einzelplan 60",'MAIN DATA, Orders'!$G:$G,"Armoured vehicle",'MAIN DATA, Orders'!$Q:$Q,$A16))</f>
        <v>0</v>
      </c>
    </row>
    <row r="17" spans="1:5">
      <c r="A17" s="72">
        <v>11</v>
      </c>
      <c r="B17" s="68">
        <v>44136</v>
      </c>
      <c r="C17" s="17">
        <f>(SUMIFS('MAIN DATA, Orders'!$I:$I,'MAIN DATA, Orders'!$C:$C,"Germany",'MAIN DATA, Orders'!$N:$N,"Einzelplan 14",'MAIN DATA, Orders'!$G:$G,"Armoured vehicle",'MAIN DATA, Orders'!$Q:$Q,$A17))</f>
        <v>224</v>
      </c>
      <c r="D17" s="17">
        <f>(SUMIFS('MAIN DATA, Orders'!$I:$I,'MAIN DATA, Orders'!$C:$C,"Germany",'MAIN DATA, Orders'!$N:$N,"Sondervermögen",'MAIN DATA, Orders'!$G:$G,"Armoured vehicle",'MAIN DATA, Orders'!$Q:$Q,$A17))</f>
        <v>0</v>
      </c>
      <c r="E17" s="17">
        <f>(SUMIFS('MAIN DATA, Orders'!$I:$I,'MAIN DATA, Orders'!$C:$C,"Germany",'MAIN DATA, Orders'!$N:$N,"Einzelplan 60",'MAIN DATA, Orders'!$G:$G,"Armoured vehicle",'MAIN DATA, Orders'!$Q:$Q,$A17))</f>
        <v>0</v>
      </c>
    </row>
    <row r="18" spans="1:5">
      <c r="A18" s="72">
        <v>12</v>
      </c>
      <c r="B18" s="68">
        <v>44166</v>
      </c>
      <c r="C18" s="17">
        <f>(SUMIFS('MAIN DATA, Orders'!$I:$I,'MAIN DATA, Orders'!$C:$C,"Germany",'MAIN DATA, Orders'!$N:$N,"Einzelplan 14",'MAIN DATA, Orders'!$G:$G,"Armoured vehicle",'MAIN DATA, Orders'!$Q:$Q,$A18))</f>
        <v>0</v>
      </c>
      <c r="D18" s="17">
        <f>(SUMIFS('MAIN DATA, Orders'!$I:$I,'MAIN DATA, Orders'!$C:$C,"Germany",'MAIN DATA, Orders'!$N:$N,"Sondervermögen",'MAIN DATA, Orders'!$G:$G,"Armoured vehicle",'MAIN DATA, Orders'!$Q:$Q,$A18))</f>
        <v>0</v>
      </c>
      <c r="E18" s="17">
        <f>(SUMIFS('MAIN DATA, Orders'!$I:$I,'MAIN DATA, Orders'!$C:$C,"Germany",'MAIN DATA, Orders'!$N:$N,"Einzelplan 60",'MAIN DATA, Orders'!$G:$G,"Armoured vehicle",'MAIN DATA, Orders'!$Q:$Q,$A18))</f>
        <v>0</v>
      </c>
    </row>
    <row r="19" spans="1:5">
      <c r="A19" s="72">
        <v>13</v>
      </c>
      <c r="B19" s="68">
        <v>44197</v>
      </c>
      <c r="C19" s="17">
        <f>(SUMIFS('MAIN DATA, Orders'!$I:$I,'MAIN DATA, Orders'!$C:$C,"Germany",'MAIN DATA, Orders'!$N:$N,"Einzelplan 14",'MAIN DATA, Orders'!$G:$G,"Armoured vehicle",'MAIN DATA, Orders'!$Q:$Q,$A19))</f>
        <v>0</v>
      </c>
      <c r="D19" s="17">
        <f>(SUMIFS('MAIN DATA, Orders'!$I:$I,'MAIN DATA, Orders'!$C:$C,"Germany",'MAIN DATA, Orders'!$N:$N,"Sondervermögen",'MAIN DATA, Orders'!$G:$G,"Armoured vehicle",'MAIN DATA, Orders'!$Q:$Q,$A19))</f>
        <v>0</v>
      </c>
      <c r="E19" s="17">
        <f>(SUMIFS('MAIN DATA, Orders'!$I:$I,'MAIN DATA, Orders'!$C:$C,"Germany",'MAIN DATA, Orders'!$N:$N,"Einzelplan 60",'MAIN DATA, Orders'!$G:$G,"Armoured vehicle",'MAIN DATA, Orders'!$Q:$Q,$A19))</f>
        <v>0</v>
      </c>
    </row>
    <row r="20" spans="1:5">
      <c r="A20" s="72">
        <v>14</v>
      </c>
      <c r="B20" s="68">
        <v>44228</v>
      </c>
      <c r="C20" s="17">
        <f>(SUMIFS('MAIN DATA, Orders'!$I:$I,'MAIN DATA, Orders'!$C:$C,"Germany",'MAIN DATA, Orders'!$N:$N,"Einzelplan 14",'MAIN DATA, Orders'!$G:$G,"Armoured vehicle",'MAIN DATA, Orders'!$Q:$Q,$A20))</f>
        <v>0</v>
      </c>
      <c r="D20" s="17">
        <f>(SUMIFS('MAIN DATA, Orders'!$I:$I,'MAIN DATA, Orders'!$C:$C,"Germany",'MAIN DATA, Orders'!$N:$N,"Sondervermögen",'MAIN DATA, Orders'!$G:$G,"Armoured vehicle",'MAIN DATA, Orders'!$Q:$Q,$A20))</f>
        <v>0</v>
      </c>
      <c r="E20" s="17">
        <f>(SUMIFS('MAIN DATA, Orders'!$I:$I,'MAIN DATA, Orders'!$C:$C,"Germany",'MAIN DATA, Orders'!$N:$N,"Einzelplan 60",'MAIN DATA, Orders'!$G:$G,"Armoured vehicle",'MAIN DATA, Orders'!$Q:$Q,$A20))</f>
        <v>0</v>
      </c>
    </row>
    <row r="21" spans="1:5">
      <c r="A21" s="72">
        <v>15</v>
      </c>
      <c r="B21" s="68">
        <v>44256</v>
      </c>
      <c r="C21" s="17">
        <f>(SUMIFS('MAIN DATA, Orders'!$I:$I,'MAIN DATA, Orders'!$C:$C,"Germany",'MAIN DATA, Orders'!$N:$N,"Einzelplan 14",'MAIN DATA, Orders'!$G:$G,"Armoured vehicle",'MAIN DATA, Orders'!$Q:$Q,$A21))</f>
        <v>0</v>
      </c>
      <c r="D21" s="17">
        <f>(SUMIFS('MAIN DATA, Orders'!$I:$I,'MAIN DATA, Orders'!$C:$C,"Germany",'MAIN DATA, Orders'!$N:$N,"Sondervermögen",'MAIN DATA, Orders'!$G:$G,"Armoured vehicle",'MAIN DATA, Orders'!$Q:$Q,$A21))</f>
        <v>0</v>
      </c>
      <c r="E21" s="17">
        <f>(SUMIFS('MAIN DATA, Orders'!$I:$I,'MAIN DATA, Orders'!$C:$C,"Germany",'MAIN DATA, Orders'!$N:$N,"Einzelplan 60",'MAIN DATA, Orders'!$G:$G,"Armoured vehicle",'MAIN DATA, Orders'!$Q:$Q,$A21))</f>
        <v>0</v>
      </c>
    </row>
    <row r="22" spans="1:5">
      <c r="A22" s="72">
        <v>16</v>
      </c>
      <c r="B22" s="68">
        <v>44287</v>
      </c>
      <c r="C22" s="17">
        <f>(SUMIFS('MAIN DATA, Orders'!$I:$I,'MAIN DATA, Orders'!$C:$C,"Germany",'MAIN DATA, Orders'!$N:$N,"Einzelplan 14",'MAIN DATA, Orders'!$G:$G,"Armoured vehicle",'MAIN DATA, Orders'!$Q:$Q,$A22))</f>
        <v>44</v>
      </c>
      <c r="D22" s="17">
        <f>(SUMIFS('MAIN DATA, Orders'!$I:$I,'MAIN DATA, Orders'!$C:$C,"Germany",'MAIN DATA, Orders'!$N:$N,"Sondervermögen",'MAIN DATA, Orders'!$G:$G,"Armoured vehicle",'MAIN DATA, Orders'!$Q:$Q,$A22))</f>
        <v>0</v>
      </c>
      <c r="E22" s="17">
        <f>(SUMIFS('MAIN DATA, Orders'!$I:$I,'MAIN DATA, Orders'!$C:$C,"Germany",'MAIN DATA, Orders'!$N:$N,"Einzelplan 60",'MAIN DATA, Orders'!$G:$G,"Armoured vehicle",'MAIN DATA, Orders'!$Q:$Q,$A22))</f>
        <v>0</v>
      </c>
    </row>
    <row r="23" spans="1:5">
      <c r="A23" s="72">
        <v>17</v>
      </c>
      <c r="B23" s="68">
        <v>44317</v>
      </c>
      <c r="C23" s="17">
        <f>(SUMIFS('MAIN DATA, Orders'!$I:$I,'MAIN DATA, Orders'!$C:$C,"Germany",'MAIN DATA, Orders'!$N:$N,"Einzelplan 14",'MAIN DATA, Orders'!$G:$G,"Armoured vehicle",'MAIN DATA, Orders'!$Q:$Q,$A23))</f>
        <v>0</v>
      </c>
      <c r="D23" s="17">
        <f>(SUMIFS('MAIN DATA, Orders'!$I:$I,'MAIN DATA, Orders'!$C:$C,"Germany",'MAIN DATA, Orders'!$N:$N,"Sondervermögen",'MAIN DATA, Orders'!$G:$G,"Armoured vehicle",'MAIN DATA, Orders'!$Q:$Q,$A23))</f>
        <v>0</v>
      </c>
      <c r="E23" s="17">
        <f>(SUMIFS('MAIN DATA, Orders'!$I:$I,'MAIN DATA, Orders'!$C:$C,"Germany",'MAIN DATA, Orders'!$N:$N,"Einzelplan 60",'MAIN DATA, Orders'!$G:$G,"Armoured vehicle",'MAIN DATA, Orders'!$Q:$Q,$A23))</f>
        <v>0</v>
      </c>
    </row>
    <row r="24" spans="1:5">
      <c r="A24" s="72">
        <v>18</v>
      </c>
      <c r="B24" s="68">
        <v>44348</v>
      </c>
      <c r="C24" s="17">
        <f>(SUMIFS('MAIN DATA, Orders'!$I:$I,'MAIN DATA, Orders'!$C:$C,"Germany",'MAIN DATA, Orders'!$N:$N,"Einzelplan 14",'MAIN DATA, Orders'!$G:$G,"Armoured vehicle",'MAIN DATA, Orders'!$Q:$Q,$A24))</f>
        <v>170</v>
      </c>
      <c r="D24" s="17">
        <f>(SUMIFS('MAIN DATA, Orders'!$I:$I,'MAIN DATA, Orders'!$C:$C,"Germany",'MAIN DATA, Orders'!$N:$N,"Sondervermögen",'MAIN DATA, Orders'!$G:$G,"Armoured vehicle",'MAIN DATA, Orders'!$Q:$Q,$A24))</f>
        <v>0</v>
      </c>
      <c r="E24" s="17">
        <f>(SUMIFS('MAIN DATA, Orders'!$I:$I,'MAIN DATA, Orders'!$C:$C,"Germany",'MAIN DATA, Orders'!$N:$N,"Einzelplan 60",'MAIN DATA, Orders'!$G:$G,"Armoured vehicle",'MAIN DATA, Orders'!$Q:$Q,$A24))</f>
        <v>0</v>
      </c>
    </row>
    <row r="25" spans="1:5">
      <c r="A25" s="72">
        <v>19</v>
      </c>
      <c r="B25" s="68">
        <v>44378</v>
      </c>
      <c r="C25" s="17">
        <f>(SUMIFS('MAIN DATA, Orders'!$I:$I,'MAIN DATA, Orders'!$C:$C,"Germany",'MAIN DATA, Orders'!$N:$N,"Einzelplan 14",'MAIN DATA, Orders'!$G:$G,"Armoured vehicle",'MAIN DATA, Orders'!$Q:$Q,$A25))</f>
        <v>0</v>
      </c>
      <c r="D25" s="17">
        <f>(SUMIFS('MAIN DATA, Orders'!$I:$I,'MAIN DATA, Orders'!$C:$C,"Germany",'MAIN DATA, Orders'!$N:$N,"Sondervermögen",'MAIN DATA, Orders'!$G:$G,"Armoured vehicle",'MAIN DATA, Orders'!$Q:$Q,$A25))</f>
        <v>0</v>
      </c>
      <c r="E25" s="17">
        <f>(SUMIFS('MAIN DATA, Orders'!$I:$I,'MAIN DATA, Orders'!$C:$C,"Germany",'MAIN DATA, Orders'!$N:$N,"Einzelplan 60",'MAIN DATA, Orders'!$G:$G,"Armoured vehicle",'MAIN DATA, Orders'!$Q:$Q,$A25))</f>
        <v>0</v>
      </c>
    </row>
    <row r="26" spans="1:5">
      <c r="A26" s="72">
        <v>20</v>
      </c>
      <c r="B26" s="68">
        <v>44409</v>
      </c>
      <c r="C26" s="17">
        <f>(SUMIFS('MAIN DATA, Orders'!$I:$I,'MAIN DATA, Orders'!$C:$C,"Germany",'MAIN DATA, Orders'!$N:$N,"Einzelplan 14",'MAIN DATA, Orders'!$G:$G,"Armoured vehicle",'MAIN DATA, Orders'!$Q:$Q,$A26))</f>
        <v>0</v>
      </c>
      <c r="D26" s="17">
        <f>(SUMIFS('MAIN DATA, Orders'!$I:$I,'MAIN DATA, Orders'!$C:$C,"Germany",'MAIN DATA, Orders'!$N:$N,"Sondervermögen",'MAIN DATA, Orders'!$G:$G,"Armoured vehicle",'MAIN DATA, Orders'!$Q:$Q,$A26))</f>
        <v>0</v>
      </c>
      <c r="E26" s="17">
        <f>(SUMIFS('MAIN DATA, Orders'!$I:$I,'MAIN DATA, Orders'!$C:$C,"Germany",'MAIN DATA, Orders'!$N:$N,"Einzelplan 60",'MAIN DATA, Orders'!$G:$G,"Armoured vehicle",'MAIN DATA, Orders'!$Q:$Q,$A26))</f>
        <v>0</v>
      </c>
    </row>
    <row r="27" spans="1:5">
      <c r="A27" s="72">
        <v>21</v>
      </c>
      <c r="B27" s="68">
        <v>44440</v>
      </c>
      <c r="C27" s="17">
        <f>(SUMIFS('MAIN DATA, Orders'!$I:$I,'MAIN DATA, Orders'!$C:$C,"Germany",'MAIN DATA, Orders'!$N:$N,"Einzelplan 14",'MAIN DATA, Orders'!$G:$G,"Armoured vehicle",'MAIN DATA, Orders'!$Q:$Q,$A27))</f>
        <v>0</v>
      </c>
      <c r="D27" s="17">
        <f>(SUMIFS('MAIN DATA, Orders'!$I:$I,'MAIN DATA, Orders'!$C:$C,"Germany",'MAIN DATA, Orders'!$N:$N,"Sondervermögen",'MAIN DATA, Orders'!$G:$G,"Armoured vehicle",'MAIN DATA, Orders'!$Q:$Q,$A27))</f>
        <v>0</v>
      </c>
      <c r="E27" s="17">
        <f>(SUMIFS('MAIN DATA, Orders'!$I:$I,'MAIN DATA, Orders'!$C:$C,"Germany",'MAIN DATA, Orders'!$N:$N,"Einzelplan 60",'MAIN DATA, Orders'!$G:$G,"Armoured vehicle",'MAIN DATA, Orders'!$Q:$Q,$A27))</f>
        <v>0</v>
      </c>
    </row>
    <row r="28" spans="1:5">
      <c r="A28" s="72">
        <v>22</v>
      </c>
      <c r="B28" s="68">
        <v>44470</v>
      </c>
      <c r="C28" s="17">
        <f>(SUMIFS('MAIN DATA, Orders'!$I:$I,'MAIN DATA, Orders'!$C:$C,"Germany",'MAIN DATA, Orders'!$N:$N,"Einzelplan 14",'MAIN DATA, Orders'!$G:$G,"Armoured vehicle",'MAIN DATA, Orders'!$Q:$Q,$A28))</f>
        <v>0</v>
      </c>
      <c r="D28" s="17">
        <f>(SUMIFS('MAIN DATA, Orders'!$I:$I,'MAIN DATA, Orders'!$C:$C,"Germany",'MAIN DATA, Orders'!$N:$N,"Sondervermögen",'MAIN DATA, Orders'!$G:$G,"Armoured vehicle",'MAIN DATA, Orders'!$Q:$Q,$A28))</f>
        <v>0</v>
      </c>
      <c r="E28" s="17">
        <f>(SUMIFS('MAIN DATA, Orders'!$I:$I,'MAIN DATA, Orders'!$C:$C,"Germany",'MAIN DATA, Orders'!$N:$N,"Einzelplan 60",'MAIN DATA, Orders'!$G:$G,"Armoured vehicle",'MAIN DATA, Orders'!$Q:$Q,$A28))</f>
        <v>0</v>
      </c>
    </row>
    <row r="29" spans="1:5">
      <c r="A29" s="72">
        <v>23</v>
      </c>
      <c r="B29" s="68">
        <v>44501</v>
      </c>
      <c r="C29" s="17">
        <f>(SUMIFS('MAIN DATA, Orders'!$I:$I,'MAIN DATA, Orders'!$C:$C,"Germany",'MAIN DATA, Orders'!$N:$N,"Einzelplan 14",'MAIN DATA, Orders'!$G:$G,"Armoured vehicle",'MAIN DATA, Orders'!$Q:$Q,$A29))</f>
        <v>0</v>
      </c>
      <c r="D29" s="17">
        <f>(SUMIFS('MAIN DATA, Orders'!$I:$I,'MAIN DATA, Orders'!$C:$C,"Germany",'MAIN DATA, Orders'!$N:$N,"Sondervermögen",'MAIN DATA, Orders'!$G:$G,"Armoured vehicle",'MAIN DATA, Orders'!$Q:$Q,$A29))</f>
        <v>0</v>
      </c>
      <c r="E29" s="17">
        <f>(SUMIFS('MAIN DATA, Orders'!$I:$I,'MAIN DATA, Orders'!$C:$C,"Germany",'MAIN DATA, Orders'!$N:$N,"Einzelplan 60",'MAIN DATA, Orders'!$G:$G,"Armoured vehicle",'MAIN DATA, Orders'!$Q:$Q,$A29))</f>
        <v>0</v>
      </c>
    </row>
    <row r="30" spans="1:5">
      <c r="A30" s="72">
        <v>24</v>
      </c>
      <c r="B30" s="68">
        <v>44531</v>
      </c>
      <c r="C30" s="17">
        <f>(SUMIFS('MAIN DATA, Orders'!$I:$I,'MAIN DATA, Orders'!$C:$C,"Germany",'MAIN DATA, Orders'!$N:$N,"Einzelplan 14",'MAIN DATA, Orders'!$G:$G,"Armoured vehicle",'MAIN DATA, Orders'!$Q:$Q,$A30))</f>
        <v>0</v>
      </c>
      <c r="D30" s="17">
        <f>(SUMIFS('MAIN DATA, Orders'!$I:$I,'MAIN DATA, Orders'!$C:$C,"Germany",'MAIN DATA, Orders'!$N:$N,"Sondervermögen",'MAIN DATA, Orders'!$G:$G,"Armoured vehicle",'MAIN DATA, Orders'!$Q:$Q,$A30))</f>
        <v>0</v>
      </c>
      <c r="E30" s="17">
        <f>(SUMIFS('MAIN DATA, Orders'!$I:$I,'MAIN DATA, Orders'!$C:$C,"Germany",'MAIN DATA, Orders'!$N:$N,"Einzelplan 60",'MAIN DATA, Orders'!$G:$G,"Armoured vehicle",'MAIN DATA, Orders'!$Q:$Q,$A30))</f>
        <v>0</v>
      </c>
    </row>
    <row r="31" spans="1:5">
      <c r="A31" s="72">
        <v>25</v>
      </c>
      <c r="B31" s="68">
        <v>44562</v>
      </c>
      <c r="C31" s="17">
        <f>(SUMIFS('MAIN DATA, Orders'!$I:$I,'MAIN DATA, Orders'!$C:$C,"Germany",'MAIN DATA, Orders'!$N:$N,"Einzelplan 14",'MAIN DATA, Orders'!$G:$G,"Armoured vehicle",'MAIN DATA, Orders'!$Q:$Q,$A31))</f>
        <v>0</v>
      </c>
      <c r="D31" s="17">
        <f>(SUMIFS('MAIN DATA, Orders'!$I:$I,'MAIN DATA, Orders'!$C:$C,"Germany",'MAIN DATA, Orders'!$N:$N,"Sondervermögen",'MAIN DATA, Orders'!$G:$G,"Armoured vehicle",'MAIN DATA, Orders'!$Q:$Q,$A31))</f>
        <v>0</v>
      </c>
      <c r="E31" s="17">
        <f>(SUMIFS('MAIN DATA, Orders'!$I:$I,'MAIN DATA, Orders'!$C:$C,"Germany",'MAIN DATA, Orders'!$N:$N,"Einzelplan 60",'MAIN DATA, Orders'!$G:$G,"Armoured vehicle",'MAIN DATA, Orders'!$Q:$Q,$A31))</f>
        <v>0</v>
      </c>
    </row>
    <row r="32" spans="1:5">
      <c r="A32" s="72">
        <v>26</v>
      </c>
      <c r="B32" s="68">
        <v>44593</v>
      </c>
      <c r="C32" s="17">
        <f>(SUMIFS('MAIN DATA, Orders'!$I:$I,'MAIN DATA, Orders'!$C:$C,"Germany",'MAIN DATA, Orders'!$N:$N,"Einzelplan 14",'MAIN DATA, Orders'!$G:$G,"Armoured vehicle",'MAIN DATA, Orders'!$Q:$Q,$A32))</f>
        <v>0</v>
      </c>
      <c r="D32" s="17">
        <f>(SUMIFS('MAIN DATA, Orders'!$I:$I,'MAIN DATA, Orders'!$C:$C,"Germany",'MAIN DATA, Orders'!$N:$N,"Sondervermögen",'MAIN DATA, Orders'!$G:$G,"Armoured vehicle",'MAIN DATA, Orders'!$Q:$Q,$A32))</f>
        <v>0</v>
      </c>
      <c r="E32" s="17">
        <f>(SUMIFS('MAIN DATA, Orders'!$I:$I,'MAIN DATA, Orders'!$C:$C,"Germany",'MAIN DATA, Orders'!$N:$N,"Einzelplan 60",'MAIN DATA, Orders'!$G:$G,"Armoured vehicle",'MAIN DATA, Orders'!$Q:$Q,$A32))</f>
        <v>0</v>
      </c>
    </row>
    <row r="33" spans="1:5">
      <c r="A33" s="72">
        <v>27</v>
      </c>
      <c r="B33" s="68">
        <v>44621</v>
      </c>
      <c r="C33" s="17">
        <f>(SUMIFS('MAIN DATA, Orders'!$I:$I,'MAIN DATA, Orders'!$C:$C,"Germany",'MAIN DATA, Orders'!$N:$N,"Einzelplan 14",'MAIN DATA, Orders'!$G:$G,"Armoured vehicle",'MAIN DATA, Orders'!$Q:$Q,$A33))</f>
        <v>0</v>
      </c>
      <c r="D33" s="17">
        <f>(SUMIFS('MAIN DATA, Orders'!$I:$I,'MAIN DATA, Orders'!$C:$C,"Germany",'MAIN DATA, Orders'!$N:$N,"Sondervermögen",'MAIN DATA, Orders'!$G:$G,"Armoured vehicle",'MAIN DATA, Orders'!$Q:$Q,$A33))</f>
        <v>0</v>
      </c>
      <c r="E33" s="17">
        <f>(SUMIFS('MAIN DATA, Orders'!$I:$I,'MAIN DATA, Orders'!$C:$C,"Germany",'MAIN DATA, Orders'!$N:$N,"Einzelplan 60",'MAIN DATA, Orders'!$G:$G,"Armoured vehicle",'MAIN DATA, Orders'!$Q:$Q,$A33))</f>
        <v>0</v>
      </c>
    </row>
    <row r="34" spans="1:5">
      <c r="A34" s="72">
        <v>28</v>
      </c>
      <c r="B34" s="68">
        <v>44652</v>
      </c>
      <c r="C34" s="17">
        <f>(SUMIFS('MAIN DATA, Orders'!$I:$I,'MAIN DATA, Orders'!$C:$C,"Germany",'MAIN DATA, Orders'!$N:$N,"Einzelplan 14",'MAIN DATA, Orders'!$G:$G,"Armoured vehicle",'MAIN DATA, Orders'!$Q:$Q,$A34))</f>
        <v>0</v>
      </c>
      <c r="D34" s="17">
        <f>(SUMIFS('MAIN DATA, Orders'!$I:$I,'MAIN DATA, Orders'!$C:$C,"Germany",'MAIN DATA, Orders'!$N:$N,"Sondervermögen",'MAIN DATA, Orders'!$G:$G,"Armoured vehicle",'MAIN DATA, Orders'!$Q:$Q,$A34))</f>
        <v>0</v>
      </c>
      <c r="E34" s="17">
        <f>(SUMIFS('MAIN DATA, Orders'!$I:$I,'MAIN DATA, Orders'!$C:$C,"Germany",'MAIN DATA, Orders'!$N:$N,"Einzelplan 60",'MAIN DATA, Orders'!$G:$G,"Armoured vehicle",'MAIN DATA, Orders'!$Q:$Q,$A34))</f>
        <v>0</v>
      </c>
    </row>
    <row r="35" spans="1:5">
      <c r="A35" s="72">
        <v>29</v>
      </c>
      <c r="B35" s="68">
        <v>44682</v>
      </c>
      <c r="C35" s="17">
        <f>(SUMIFS('MAIN DATA, Orders'!$I:$I,'MAIN DATA, Orders'!$C:$C,"Germany",'MAIN DATA, Orders'!$N:$N,"Einzelplan 14",'MAIN DATA, Orders'!$G:$G,"Armoured vehicle",'MAIN DATA, Orders'!$Q:$Q,$A35))</f>
        <v>0</v>
      </c>
      <c r="D35" s="17">
        <f>(SUMIFS('MAIN DATA, Orders'!$I:$I,'MAIN DATA, Orders'!$C:$C,"Germany",'MAIN DATA, Orders'!$N:$N,"Sondervermögen",'MAIN DATA, Orders'!$G:$G,"Armoured vehicle",'MAIN DATA, Orders'!$Q:$Q,$A35))</f>
        <v>0</v>
      </c>
      <c r="E35" s="17">
        <f>(SUMIFS('MAIN DATA, Orders'!$I:$I,'MAIN DATA, Orders'!$C:$C,"Germany",'MAIN DATA, Orders'!$N:$N,"Einzelplan 60",'MAIN DATA, Orders'!$G:$G,"Armoured vehicle",'MAIN DATA, Orders'!$Q:$Q,$A35))</f>
        <v>0</v>
      </c>
    </row>
    <row r="36" spans="1:5">
      <c r="A36" s="72">
        <v>30</v>
      </c>
      <c r="B36" s="68">
        <v>44713</v>
      </c>
      <c r="C36" s="17">
        <f>(SUMIFS('MAIN DATA, Orders'!$I:$I,'MAIN DATA, Orders'!$C:$C,"Germany",'MAIN DATA, Orders'!$N:$N,"Einzelplan 14",'MAIN DATA, Orders'!$G:$G,"Armoured vehicle",'MAIN DATA, Orders'!$Q:$Q,$A36))</f>
        <v>0</v>
      </c>
      <c r="D36" s="17">
        <f>(SUMIFS('MAIN DATA, Orders'!$I:$I,'MAIN DATA, Orders'!$C:$C,"Germany",'MAIN DATA, Orders'!$N:$N,"Sondervermögen",'MAIN DATA, Orders'!$G:$G,"Armoured vehicle",'MAIN DATA, Orders'!$Q:$Q,$A36))</f>
        <v>0</v>
      </c>
      <c r="E36" s="17">
        <f>(SUMIFS('MAIN DATA, Orders'!$I:$I,'MAIN DATA, Orders'!$C:$C,"Germany",'MAIN DATA, Orders'!$N:$N,"Einzelplan 60",'MAIN DATA, Orders'!$G:$G,"Armoured vehicle",'MAIN DATA, Orders'!$Q:$Q,$A36))</f>
        <v>0</v>
      </c>
    </row>
    <row r="37" spans="1:5">
      <c r="A37" s="72">
        <v>31</v>
      </c>
      <c r="B37" s="68">
        <v>44743</v>
      </c>
      <c r="C37" s="17">
        <f>(SUMIFS('MAIN DATA, Orders'!$I:$I,'MAIN DATA, Orders'!$C:$C,"Germany",'MAIN DATA, Orders'!$N:$N,"Einzelplan 14",'MAIN DATA, Orders'!$G:$G,"Armoured vehicle",'MAIN DATA, Orders'!$Q:$Q,$A37))</f>
        <v>0</v>
      </c>
      <c r="D37" s="17">
        <f>(SUMIFS('MAIN DATA, Orders'!$I:$I,'MAIN DATA, Orders'!$C:$C,"Germany",'MAIN DATA, Orders'!$N:$N,"Sondervermögen",'MAIN DATA, Orders'!$G:$G,"Armoured vehicle",'MAIN DATA, Orders'!$Q:$Q,$A37))</f>
        <v>0</v>
      </c>
      <c r="E37" s="17">
        <f>(SUMIFS('MAIN DATA, Orders'!$I:$I,'MAIN DATA, Orders'!$C:$C,"Germany",'MAIN DATA, Orders'!$N:$N,"Einzelplan 60",'MAIN DATA, Orders'!$G:$G,"Armoured vehicle",'MAIN DATA, Orders'!$Q:$Q,$A37))</f>
        <v>0</v>
      </c>
    </row>
    <row r="38" spans="1:5">
      <c r="A38" s="72">
        <v>32</v>
      </c>
      <c r="B38" s="68">
        <v>44774</v>
      </c>
      <c r="C38" s="17">
        <f>(SUMIFS('MAIN DATA, Orders'!$I:$I,'MAIN DATA, Orders'!$C:$C,"Germany",'MAIN DATA, Orders'!$N:$N,"Einzelplan 14",'MAIN DATA, Orders'!$G:$G,"Armoured vehicle",'MAIN DATA, Orders'!$Q:$Q,$A38))</f>
        <v>0</v>
      </c>
      <c r="D38" s="17">
        <f>(SUMIFS('MAIN DATA, Orders'!$I:$I,'MAIN DATA, Orders'!$C:$C,"Germany",'MAIN DATA, Orders'!$N:$N,"Sondervermögen",'MAIN DATA, Orders'!$G:$G,"Armoured vehicle",'MAIN DATA, Orders'!$Q:$Q,$A38))</f>
        <v>0</v>
      </c>
      <c r="E38" s="17">
        <f>(SUMIFS('MAIN DATA, Orders'!$I:$I,'MAIN DATA, Orders'!$C:$C,"Germany",'MAIN DATA, Orders'!$N:$N,"Einzelplan 60",'MAIN DATA, Orders'!$G:$G,"Armoured vehicle",'MAIN DATA, Orders'!$Q:$Q,$A38))</f>
        <v>0</v>
      </c>
    </row>
    <row r="39" spans="1:5">
      <c r="A39" s="72">
        <v>33</v>
      </c>
      <c r="B39" s="68">
        <v>44805</v>
      </c>
      <c r="C39" s="17">
        <f>(SUMIFS('MAIN DATA, Orders'!$I:$I,'MAIN DATA, Orders'!$C:$C,"Germany",'MAIN DATA, Orders'!$N:$N,"Einzelplan 14",'MAIN DATA, Orders'!$G:$G,"Armoured vehicle",'MAIN DATA, Orders'!$Q:$Q,$A39))</f>
        <v>0</v>
      </c>
      <c r="D39" s="17">
        <f>(SUMIFS('MAIN DATA, Orders'!$I:$I,'MAIN DATA, Orders'!$C:$C,"Germany",'MAIN DATA, Orders'!$N:$N,"Sondervermögen",'MAIN DATA, Orders'!$G:$G,"Armoured vehicle",'MAIN DATA, Orders'!$Q:$Q,$A39))</f>
        <v>0</v>
      </c>
      <c r="E39" s="17">
        <f>(SUMIFS('MAIN DATA, Orders'!$I:$I,'MAIN DATA, Orders'!$C:$C,"Germany",'MAIN DATA, Orders'!$N:$N,"Einzelplan 60",'MAIN DATA, Orders'!$G:$G,"Armoured vehicle",'MAIN DATA, Orders'!$Q:$Q,$A39))</f>
        <v>0</v>
      </c>
    </row>
    <row r="40" spans="1:5">
      <c r="A40" s="72">
        <v>34</v>
      </c>
      <c r="B40" s="68">
        <v>44835</v>
      </c>
      <c r="C40" s="17">
        <f>(SUMIFS('MAIN DATA, Orders'!$I:$I,'MAIN DATA, Orders'!$C:$C,"Germany",'MAIN DATA, Orders'!$N:$N,"Einzelplan 14",'MAIN DATA, Orders'!$G:$G,"Armoured vehicle",'MAIN DATA, Orders'!$Q:$Q,$A40))</f>
        <v>0</v>
      </c>
      <c r="D40" s="17">
        <f>(SUMIFS('MAIN DATA, Orders'!$I:$I,'MAIN DATA, Orders'!$C:$C,"Germany",'MAIN DATA, Orders'!$N:$N,"Sondervermögen",'MAIN DATA, Orders'!$G:$G,"Armoured vehicle",'MAIN DATA, Orders'!$Q:$Q,$A40))</f>
        <v>0</v>
      </c>
      <c r="E40" s="17">
        <f>(SUMIFS('MAIN DATA, Orders'!$I:$I,'MAIN DATA, Orders'!$C:$C,"Germany",'MAIN DATA, Orders'!$N:$N,"Einzelplan 60",'MAIN DATA, Orders'!$G:$G,"Armoured vehicle",'MAIN DATA, Orders'!$Q:$Q,$A40))</f>
        <v>0</v>
      </c>
    </row>
    <row r="41" spans="1:5">
      <c r="A41" s="72">
        <v>35</v>
      </c>
      <c r="B41" s="68">
        <v>44866</v>
      </c>
      <c r="C41" s="17">
        <f>(SUMIFS('MAIN DATA, Orders'!$I:$I,'MAIN DATA, Orders'!$C:$C,"Germany",'MAIN DATA, Orders'!$N:$N,"Einzelplan 14",'MAIN DATA, Orders'!$G:$G,"Armoured vehicle",'MAIN DATA, Orders'!$Q:$Q,$A41))</f>
        <v>0</v>
      </c>
      <c r="D41" s="17">
        <f>(SUMIFS('MAIN DATA, Orders'!$I:$I,'MAIN DATA, Orders'!$C:$C,"Germany",'MAIN DATA, Orders'!$N:$N,"Sondervermögen",'MAIN DATA, Orders'!$G:$G,"Armoured vehicle",'MAIN DATA, Orders'!$Q:$Q,$A41))</f>
        <v>0</v>
      </c>
      <c r="E41" s="17">
        <f>(SUMIFS('MAIN DATA, Orders'!$I:$I,'MAIN DATA, Orders'!$C:$C,"Germany",'MAIN DATA, Orders'!$N:$N,"Einzelplan 60",'MAIN DATA, Orders'!$G:$G,"Armoured vehicle",'MAIN DATA, Orders'!$Q:$Q,$A41))</f>
        <v>0</v>
      </c>
    </row>
    <row r="42" spans="1:5">
      <c r="A42" s="72">
        <v>36</v>
      </c>
      <c r="B42" s="68">
        <v>44896</v>
      </c>
      <c r="C42" s="17">
        <f>(SUMIFS('MAIN DATA, Orders'!$I:$I,'MAIN DATA, Orders'!$C:$C,"Germany",'MAIN DATA, Orders'!$N:$N,"Einzelplan 14",'MAIN DATA, Orders'!$G:$G,"Armoured vehicle",'MAIN DATA, Orders'!$Q:$Q,$A42))</f>
        <v>0</v>
      </c>
      <c r="D42" s="17">
        <f>(SUMIFS('MAIN DATA, Orders'!$I:$I,'MAIN DATA, Orders'!$C:$C,"Germany",'MAIN DATA, Orders'!$N:$N,"Sondervermögen",'MAIN DATA, Orders'!$G:$G,"Armoured vehicle",'MAIN DATA, Orders'!$Q:$Q,$A42))</f>
        <v>283</v>
      </c>
      <c r="E42" s="17">
        <f>(SUMIFS('MAIN DATA, Orders'!$I:$I,'MAIN DATA, Orders'!$C:$C,"Germany",'MAIN DATA, Orders'!$N:$N,"Einzelplan 60",'MAIN DATA, Orders'!$G:$G,"Armoured vehicle",'MAIN DATA, Orders'!$Q:$Q,$A42))</f>
        <v>0</v>
      </c>
    </row>
    <row r="43" spans="1:5">
      <c r="A43" s="72">
        <v>37</v>
      </c>
      <c r="B43" s="68">
        <v>44927</v>
      </c>
      <c r="C43" s="17">
        <f>(SUMIFS('MAIN DATA, Orders'!$I:$I,'MAIN DATA, Orders'!$C:$C,"Germany",'MAIN DATA, Orders'!$N:$N,"Einzelplan 14",'MAIN DATA, Orders'!$G:$G,"Armoured vehicle",'MAIN DATA, Orders'!$Q:$Q,$A43))</f>
        <v>0</v>
      </c>
      <c r="D43" s="17">
        <f>(SUMIFS('MAIN DATA, Orders'!$I:$I,'MAIN DATA, Orders'!$C:$C,"Germany",'MAIN DATA, Orders'!$N:$N,"Sondervermögen",'MAIN DATA, Orders'!$G:$G,"Armoured vehicle",'MAIN DATA, Orders'!$Q:$Q,$A43))</f>
        <v>0</v>
      </c>
      <c r="E43" s="17">
        <f>(SUMIFS('MAIN DATA, Orders'!$I:$I,'MAIN DATA, Orders'!$C:$C,"Germany",'MAIN DATA, Orders'!$N:$N,"Einzelplan 60",'MAIN DATA, Orders'!$G:$G,"Armoured vehicle",'MAIN DATA, Orders'!$Q:$Q,$A43))</f>
        <v>0</v>
      </c>
    </row>
    <row r="44" spans="1:5">
      <c r="A44" s="72">
        <v>38</v>
      </c>
      <c r="B44" s="68">
        <v>44958</v>
      </c>
      <c r="C44" s="17">
        <f>(SUMIFS('MAIN DATA, Orders'!$I:$I,'MAIN DATA, Orders'!$C:$C,"Germany",'MAIN DATA, Orders'!$N:$N,"Einzelplan 14",'MAIN DATA, Orders'!$G:$G,"Armoured vehicle",'MAIN DATA, Orders'!$Q:$Q,$A44))</f>
        <v>0</v>
      </c>
      <c r="D44" s="17">
        <f>(SUMIFS('MAIN DATA, Orders'!$I:$I,'MAIN DATA, Orders'!$C:$C,"Germany",'MAIN DATA, Orders'!$N:$N,"Sondervermögen",'MAIN DATA, Orders'!$G:$G,"Armoured vehicle",'MAIN DATA, Orders'!$Q:$Q,$A44))</f>
        <v>0</v>
      </c>
      <c r="E44" s="17">
        <f>(SUMIFS('MAIN DATA, Orders'!$I:$I,'MAIN DATA, Orders'!$C:$C,"Germany",'MAIN DATA, Orders'!$N:$N,"Einzelplan 60",'MAIN DATA, Orders'!$G:$G,"Armoured vehicle",'MAIN DATA, Orders'!$Q:$Q,$A44))</f>
        <v>0</v>
      </c>
    </row>
    <row r="45" spans="1:5">
      <c r="A45" s="72">
        <v>39</v>
      </c>
      <c r="B45" s="68">
        <v>44986</v>
      </c>
      <c r="C45" s="17">
        <f>(SUMIFS('MAIN DATA, Orders'!$I:$I,'MAIN DATA, Orders'!$C:$C,"Germany",'MAIN DATA, Orders'!$N:$N,"Einzelplan 14",'MAIN DATA, Orders'!$G:$G,"Armoured vehicle",'MAIN DATA, Orders'!$Q:$Q,$A45))</f>
        <v>230</v>
      </c>
      <c r="D45" s="17">
        <f>(SUMIFS('MAIN DATA, Orders'!$I:$I,'MAIN DATA, Orders'!$C:$C,"Germany",'MAIN DATA, Orders'!$N:$N,"Sondervermögen",'MAIN DATA, Orders'!$G:$G,"Armoured vehicle",'MAIN DATA, Orders'!$Q:$Q,$A45))</f>
        <v>227</v>
      </c>
      <c r="E45" s="17">
        <f>(SUMIFS('MAIN DATA, Orders'!$I:$I,'MAIN DATA, Orders'!$C:$C,"Germany",'MAIN DATA, Orders'!$N:$N,"Einzelplan 60",'MAIN DATA, Orders'!$G:$G,"Armoured vehicle",'MAIN DATA, Orders'!$Q:$Q,$A45))</f>
        <v>0</v>
      </c>
    </row>
    <row r="46" spans="1:5">
      <c r="A46" s="72">
        <v>40</v>
      </c>
      <c r="B46" s="68">
        <v>45017</v>
      </c>
      <c r="C46" s="17">
        <f>(SUMIFS('MAIN DATA, Orders'!$I:$I,'MAIN DATA, Orders'!$C:$C,"Germany",'MAIN DATA, Orders'!$N:$N,"Einzelplan 14",'MAIN DATA, Orders'!$G:$G,"Armoured vehicle",'MAIN DATA, Orders'!$Q:$Q,$A46))</f>
        <v>0</v>
      </c>
      <c r="D46" s="17">
        <f>(SUMIFS('MAIN DATA, Orders'!$I:$I,'MAIN DATA, Orders'!$C:$C,"Germany",'MAIN DATA, Orders'!$N:$N,"Sondervermögen",'MAIN DATA, Orders'!$G:$G,"Armoured vehicle",'MAIN DATA, Orders'!$Q:$Q,$A46))</f>
        <v>0</v>
      </c>
      <c r="E46" s="17">
        <f>(SUMIFS('MAIN DATA, Orders'!$I:$I,'MAIN DATA, Orders'!$C:$C,"Germany",'MAIN DATA, Orders'!$N:$N,"Einzelplan 60",'MAIN DATA, Orders'!$G:$G,"Armoured vehicle",'MAIN DATA, Orders'!$Q:$Q,$A46))</f>
        <v>0</v>
      </c>
    </row>
    <row r="47" spans="1:5">
      <c r="A47" s="72">
        <v>41</v>
      </c>
      <c r="B47" s="68">
        <v>45047</v>
      </c>
      <c r="C47" s="17">
        <f>(SUMIFS('MAIN DATA, Orders'!$I:$I,'MAIN DATA, Orders'!$C:$C,"Germany",'MAIN DATA, Orders'!$N:$N,"Einzelplan 14",'MAIN DATA, Orders'!$G:$G,"Armoured vehicle",'MAIN DATA, Orders'!$Q:$Q,$A47))</f>
        <v>0</v>
      </c>
      <c r="D47" s="17">
        <f>(SUMIFS('MAIN DATA, Orders'!$I:$I,'MAIN DATA, Orders'!$C:$C,"Germany",'MAIN DATA, Orders'!$N:$N,"Sondervermögen",'MAIN DATA, Orders'!$G:$G,"Armoured vehicle",'MAIN DATA, Orders'!$Q:$Q,$A47))</f>
        <v>50</v>
      </c>
      <c r="E47" s="17">
        <f>(SUMIFS('MAIN DATA, Orders'!$I:$I,'MAIN DATA, Orders'!$C:$C,"Germany",'MAIN DATA, Orders'!$N:$N,"Einzelplan 60",'MAIN DATA, Orders'!$G:$G,"Armoured vehicle",'MAIN DATA, Orders'!$Q:$Q,$A47))</f>
        <v>0</v>
      </c>
    </row>
    <row r="48" spans="1:5">
      <c r="A48" s="72">
        <v>42</v>
      </c>
      <c r="B48" s="68">
        <v>45078</v>
      </c>
      <c r="C48" s="17">
        <f>(SUMIFS('MAIN DATA, Orders'!$I:$I,'MAIN DATA, Orders'!$C:$C,"Germany",'MAIN DATA, Orders'!$N:$N,"Einzelplan 14",'MAIN DATA, Orders'!$G:$G,"Armoured vehicle",'MAIN DATA, Orders'!$Q:$Q,$A48))</f>
        <v>164</v>
      </c>
      <c r="D48" s="17">
        <f>(SUMIFS('MAIN DATA, Orders'!$I:$I,'MAIN DATA, Orders'!$C:$C,"Germany",'MAIN DATA, Orders'!$N:$N,"Sondervermögen",'MAIN DATA, Orders'!$G:$G,"Armoured vehicle",'MAIN DATA, Orders'!$Q:$Q,$A48))</f>
        <v>0</v>
      </c>
      <c r="E48" s="17">
        <f>(SUMIFS('MAIN DATA, Orders'!$I:$I,'MAIN DATA, Orders'!$C:$C,"Germany",'MAIN DATA, Orders'!$N:$N,"Einzelplan 60",'MAIN DATA, Orders'!$G:$G,"Armoured vehicle",'MAIN DATA, Orders'!$Q:$Q,$A48))</f>
        <v>0</v>
      </c>
    </row>
    <row r="49" spans="1:5">
      <c r="A49" s="72">
        <v>43</v>
      </c>
      <c r="B49" s="68">
        <v>45108</v>
      </c>
      <c r="C49" s="17">
        <f>(SUMIFS('MAIN DATA, Orders'!$I:$I,'MAIN DATA, Orders'!$C:$C,"Germany",'MAIN DATA, Orders'!$N:$N,"Einzelplan 14",'MAIN DATA, Orders'!$G:$G,"Armoured vehicle",'MAIN DATA, Orders'!$Q:$Q,$A49))</f>
        <v>0</v>
      </c>
      <c r="D49" s="17">
        <f>(SUMIFS('MAIN DATA, Orders'!$I:$I,'MAIN DATA, Orders'!$C:$C,"Germany",'MAIN DATA, Orders'!$N:$N,"Sondervermögen",'MAIN DATA, Orders'!$G:$G,"Armoured vehicle",'MAIN DATA, Orders'!$Q:$Q,$A49))</f>
        <v>1508</v>
      </c>
      <c r="E49" s="17">
        <f>(SUMIFS('MAIN DATA, Orders'!$I:$I,'MAIN DATA, Orders'!$C:$C,"Germany",'MAIN DATA, Orders'!$N:$N,"Einzelplan 60",'MAIN DATA, Orders'!$G:$G,"Armoured vehicle",'MAIN DATA, Orders'!$Q:$Q,$A49))</f>
        <v>0</v>
      </c>
    </row>
    <row r="50" spans="1:5">
      <c r="A50" s="72">
        <v>44</v>
      </c>
      <c r="B50" s="68">
        <v>45139</v>
      </c>
      <c r="C50" s="17">
        <f>(SUMIFS('MAIN DATA, Orders'!$I:$I,'MAIN DATA, Orders'!$C:$C,"Germany",'MAIN DATA, Orders'!$N:$N,"Einzelplan 14",'MAIN DATA, Orders'!$G:$G,"Armoured vehicle",'MAIN DATA, Orders'!$Q:$Q,$A50))</f>
        <v>0</v>
      </c>
      <c r="D50" s="17">
        <f>(SUMIFS('MAIN DATA, Orders'!$I:$I,'MAIN DATA, Orders'!$C:$C,"Germany",'MAIN DATA, Orders'!$N:$N,"Sondervermögen",'MAIN DATA, Orders'!$G:$G,"Armoured vehicle",'MAIN DATA, Orders'!$Q:$Q,$A50))</f>
        <v>0</v>
      </c>
      <c r="E50" s="17">
        <f>(SUMIFS('MAIN DATA, Orders'!$I:$I,'MAIN DATA, Orders'!$C:$C,"Germany",'MAIN DATA, Orders'!$N:$N,"Einzelplan 60",'MAIN DATA, Orders'!$G:$G,"Armoured vehicle",'MAIN DATA, Orders'!$Q:$Q,$A50))</f>
        <v>0</v>
      </c>
    </row>
    <row r="51" spans="1:5">
      <c r="A51" s="72">
        <v>45</v>
      </c>
      <c r="B51" s="68">
        <v>45170</v>
      </c>
      <c r="C51" s="17">
        <f>(SUMIFS('MAIN DATA, Orders'!$I:$I,'MAIN DATA, Orders'!$C:$C,"Germany",'MAIN DATA, Orders'!$N:$N,"Einzelplan 14",'MAIN DATA, Orders'!$G:$G,"Armoured vehicle",'MAIN DATA, Orders'!$Q:$Q,$A51))</f>
        <v>0</v>
      </c>
      <c r="D51" s="17">
        <f>(SUMIFS('MAIN DATA, Orders'!$I:$I,'MAIN DATA, Orders'!$C:$C,"Germany",'MAIN DATA, Orders'!$N:$N,"Sondervermögen",'MAIN DATA, Orders'!$G:$G,"Armoured vehicle",'MAIN DATA, Orders'!$Q:$Q,$A51))</f>
        <v>0</v>
      </c>
      <c r="E51" s="17">
        <f>(SUMIFS('MAIN DATA, Orders'!$I:$I,'MAIN DATA, Orders'!$C:$C,"Germany",'MAIN DATA, Orders'!$N:$N,"Einzelplan 60",'MAIN DATA, Orders'!$G:$G,"Armoured vehicle",'MAIN DATA, Orders'!$Q:$Q,$A51))</f>
        <v>0</v>
      </c>
    </row>
    <row r="52" spans="1:5">
      <c r="A52" s="72">
        <v>46</v>
      </c>
      <c r="B52" s="68">
        <v>45200</v>
      </c>
      <c r="C52" s="17">
        <f>(SUMIFS('MAIN DATA, Orders'!$I:$I,'MAIN DATA, Orders'!$C:$C,"Germany",'MAIN DATA, Orders'!$N:$N,"Einzelplan 14",'MAIN DATA, Orders'!$G:$G,"Armoured vehicle",'MAIN DATA, Orders'!$Q:$Q,$A52))</f>
        <v>0</v>
      </c>
      <c r="D52" s="17">
        <f>(SUMIFS('MAIN DATA, Orders'!$I:$I,'MAIN DATA, Orders'!$C:$C,"Germany",'MAIN DATA, Orders'!$N:$N,"Sondervermögen",'MAIN DATA, Orders'!$G:$G,"Armoured vehicle",'MAIN DATA, Orders'!$Q:$Q,$A52))</f>
        <v>0</v>
      </c>
      <c r="E52" s="17">
        <f>(SUMIFS('MAIN DATA, Orders'!$I:$I,'MAIN DATA, Orders'!$C:$C,"Germany",'MAIN DATA, Orders'!$N:$N,"Einzelplan 60",'MAIN DATA, Orders'!$G:$G,"Armoured vehicle",'MAIN DATA, Orders'!$Q:$Q,$A52))</f>
        <v>0</v>
      </c>
    </row>
    <row r="53" spans="1:5">
      <c r="A53" s="72">
        <v>47</v>
      </c>
      <c r="B53" s="68">
        <v>45231</v>
      </c>
      <c r="C53" s="17">
        <f>(SUMIFS('MAIN DATA, Orders'!$I:$I,'MAIN DATA, Orders'!$C:$C,"Germany",'MAIN DATA, Orders'!$N:$N,"Einzelplan 14",'MAIN DATA, Orders'!$G:$G,"Armoured vehicle",'MAIN DATA, Orders'!$Q:$Q,$A53))</f>
        <v>0</v>
      </c>
      <c r="D53" s="17">
        <f>(SUMIFS('MAIN DATA, Orders'!$I:$I,'MAIN DATA, Orders'!$C:$C,"Germany",'MAIN DATA, Orders'!$N:$N,"Sondervermögen",'MAIN DATA, Orders'!$G:$G,"Armoured vehicle",'MAIN DATA, Orders'!$Q:$Q,$A53))</f>
        <v>0</v>
      </c>
      <c r="E53" s="17">
        <f>(SUMIFS('MAIN DATA, Orders'!$I:$I,'MAIN DATA, Orders'!$C:$C,"Germany",'MAIN DATA, Orders'!$N:$N,"Einzelplan 60",'MAIN DATA, Orders'!$G:$G,"Armoured vehicle",'MAIN DATA, Orders'!$Q:$Q,$A53))</f>
        <v>50</v>
      </c>
    </row>
    <row r="54" spans="1:5">
      <c r="A54" s="72">
        <v>48</v>
      </c>
      <c r="B54" s="68">
        <v>45261</v>
      </c>
      <c r="C54" s="17">
        <f>(SUMIFS('MAIN DATA, Orders'!$I:$I,'MAIN DATA, Orders'!$C:$C,"Germany",'MAIN DATA, Orders'!$N:$N,"Einzelplan 14",'MAIN DATA, Orders'!$G:$G,"Armoured vehicle",'MAIN DATA, Orders'!$Q:$Q,$A54))</f>
        <v>0</v>
      </c>
      <c r="D54" s="17">
        <f>(SUMIFS('MAIN DATA, Orders'!$I:$I,'MAIN DATA, Orders'!$C:$C,"Germany",'MAIN DATA, Orders'!$N:$N,"Sondervermögen",'MAIN DATA, Orders'!$G:$G,"Armoured vehicle",'MAIN DATA, Orders'!$Q:$Q,$A54))</f>
        <v>367</v>
      </c>
      <c r="E54" s="17">
        <f>(SUMIFS('MAIN DATA, Orders'!$I:$I,'MAIN DATA, Orders'!$C:$C,"Germany",'MAIN DATA, Orders'!$N:$N,"Einzelplan 60",'MAIN DATA, Orders'!$G:$G,"Armoured vehicle",'MAIN DATA, Orders'!$Q:$Q,$A54))</f>
        <v>0</v>
      </c>
    </row>
    <row r="55" spans="1:5">
      <c r="A55" s="72">
        <v>49</v>
      </c>
      <c r="B55" s="68">
        <v>45292</v>
      </c>
      <c r="C55" s="17">
        <f>(SUMIFS('MAIN DATA, Orders'!$I:$I,'MAIN DATA, Orders'!$C:$C,"Germany",'MAIN DATA, Orders'!$N:$N,"Einzelplan 14",'MAIN DATA, Orders'!$G:$G,"Armoured vehicle",'MAIN DATA, Orders'!$Q:$Q,$A55))</f>
        <v>0</v>
      </c>
      <c r="D55" s="17">
        <f>(SUMIFS('MAIN DATA, Orders'!$I:$I,'MAIN DATA, Orders'!$C:$C,"Germany",'MAIN DATA, Orders'!$N:$N,"Sondervermögen",'MAIN DATA, Orders'!$G:$G,"Armoured vehicle",'MAIN DATA, Orders'!$Q:$Q,$A55))</f>
        <v>0</v>
      </c>
      <c r="E55" s="17">
        <f>(SUMIFS('MAIN DATA, Orders'!$I:$I,'MAIN DATA, Orders'!$C:$C,"Germany",'MAIN DATA, Orders'!$N:$N,"Einzelplan 60",'MAIN DATA, Orders'!$G:$G,"Armoured vehicle",'MAIN DATA, Orders'!$Q:$Q,$A55))</f>
        <v>0</v>
      </c>
    </row>
    <row r="56" spans="1:5">
      <c r="A56" s="72">
        <v>50</v>
      </c>
      <c r="B56" s="68">
        <v>45323</v>
      </c>
      <c r="C56" s="17">
        <f>(SUMIFS('MAIN DATA, Orders'!$I:$I,'MAIN DATA, Orders'!$C:$C,"Germany",'MAIN DATA, Orders'!$N:$N,"Einzelplan 14",'MAIN DATA, Orders'!$G:$G,"Armoured vehicle",'MAIN DATA, Orders'!$Q:$Q,$A56))</f>
        <v>0</v>
      </c>
      <c r="D56" s="17">
        <f>(SUMIFS('MAIN DATA, Orders'!$I:$I,'MAIN DATA, Orders'!$C:$C,"Germany",'MAIN DATA, Orders'!$N:$N,"Sondervermögen",'MAIN DATA, Orders'!$G:$G,"Armoured vehicle",'MAIN DATA, Orders'!$Q:$Q,$A56))</f>
        <v>0</v>
      </c>
      <c r="E56" s="17">
        <f>(SUMIFS('MAIN DATA, Orders'!$I:$I,'MAIN DATA, Orders'!$C:$C,"Germany",'MAIN DATA, Orders'!$N:$N,"Einzelplan 60",'MAIN DATA, Orders'!$G:$G,"Armoured vehicle",'MAIN DATA, Orders'!$Q:$Q,$A56))</f>
        <v>0</v>
      </c>
    </row>
    <row r="57" spans="1:5">
      <c r="A57" s="72">
        <v>51</v>
      </c>
      <c r="B57" s="68">
        <v>45352</v>
      </c>
      <c r="C57" s="17">
        <f>(SUMIFS('MAIN DATA, Orders'!$I:$I,'MAIN DATA, Orders'!$C:$C,"Germany",'MAIN DATA, Orders'!$N:$N,"Einzelplan 14",'MAIN DATA, Orders'!$G:$G,"Armoured vehicle",'MAIN DATA, Orders'!$Q:$Q,$A57))</f>
        <v>0</v>
      </c>
      <c r="D57" s="17">
        <f>(SUMIFS('MAIN DATA, Orders'!$I:$I,'MAIN DATA, Orders'!$C:$C,"Germany",'MAIN DATA, Orders'!$N:$N,"Sondervermögen",'MAIN DATA, Orders'!$G:$G,"Armoured vehicle",'MAIN DATA, Orders'!$Q:$Q,$A57))</f>
        <v>123</v>
      </c>
      <c r="E57" s="17">
        <f>(SUMIFS('MAIN DATA, Orders'!$I:$I,'MAIN DATA, Orders'!$C:$C,"Germany",'MAIN DATA, Orders'!$N:$N,"Einzelplan 60",'MAIN DATA, Orders'!$G:$G,"Armoured vehicle",'MAIN DATA, Orders'!$Q:$Q,$A57))</f>
        <v>0</v>
      </c>
    </row>
    <row r="58" spans="1:5">
      <c r="A58" s="72">
        <v>52</v>
      </c>
      <c r="B58" s="68">
        <v>45383</v>
      </c>
      <c r="C58" s="17">
        <f>(SUMIFS('MAIN DATA, Orders'!$I:$I,'MAIN DATA, Orders'!$C:$C,"Germany",'MAIN DATA, Orders'!$N:$N,"Einzelplan 14",'MAIN DATA, Orders'!$G:$G,"Armoured vehicle",'MAIN DATA, Orders'!$Q:$Q,$A58))</f>
        <v>0</v>
      </c>
      <c r="D58" s="17">
        <f>(SUMIFS('MAIN DATA, Orders'!$I:$I,'MAIN DATA, Orders'!$C:$C,"Germany",'MAIN DATA, Orders'!$N:$N,"Sondervermögen",'MAIN DATA, Orders'!$G:$G,"Armoured vehicle",'MAIN DATA, Orders'!$Q:$Q,$A58))</f>
        <v>258</v>
      </c>
      <c r="E58" s="17">
        <f>(SUMIFS('MAIN DATA, Orders'!$I:$I,'MAIN DATA, Orders'!$C:$C,"Germany",'MAIN DATA, Orders'!$N:$N,"Einzelplan 60",'MAIN DATA, Orders'!$G:$G,"Armoured vehicle",'MAIN DATA, Orders'!$Q:$Q,$A58))</f>
        <v>0</v>
      </c>
    </row>
    <row r="59" spans="1:5">
      <c r="A59" s="72">
        <v>53</v>
      </c>
      <c r="B59" s="68">
        <v>45413</v>
      </c>
      <c r="C59" s="17">
        <f>(SUMIFS('MAIN DATA, Orders'!$I:$I,'MAIN DATA, Orders'!$C:$C,"Germany",'MAIN DATA, Orders'!$N:$N,"Einzelplan 14",'MAIN DATA, Orders'!$G:$G,"Armoured vehicle",'MAIN DATA, Orders'!$Q:$Q,$A59))</f>
        <v>0</v>
      </c>
      <c r="D59" s="17">
        <f>(SUMIFS('MAIN DATA, Orders'!$I:$I,'MAIN DATA, Orders'!$C:$C,"Germany",'MAIN DATA, Orders'!$N:$N,"Sondervermögen",'MAIN DATA, Orders'!$G:$G,"Armoured vehicle",'MAIN DATA, Orders'!$Q:$Q,$A59))</f>
        <v>0</v>
      </c>
      <c r="E59" s="17">
        <f>(SUMIFS('MAIN DATA, Orders'!$I:$I,'MAIN DATA, Orders'!$C:$C,"Germany",'MAIN DATA, Orders'!$N:$N,"Einzelplan 60",'MAIN DATA, Orders'!$G:$G,"Armoured vehicle",'MAIN DATA, Orders'!$Q:$Q,$A59))</f>
        <v>0</v>
      </c>
    </row>
    <row r="60" spans="1:5">
      <c r="A60" s="72">
        <v>54</v>
      </c>
      <c r="B60" s="68">
        <v>45444</v>
      </c>
      <c r="C60" s="17">
        <f>(SUMIFS('MAIN DATA, Orders'!$I:$I,'MAIN DATA, Orders'!$C:$C,"Germany",'MAIN DATA, Orders'!$N:$N,"Einzelplan 14",'MAIN DATA, Orders'!$G:$G,"Armoured vehicle",'MAIN DATA, Orders'!$Q:$Q,$A60))</f>
        <v>0</v>
      </c>
      <c r="D60" s="17">
        <f>(SUMIFS('MAIN DATA, Orders'!$I:$I,'MAIN DATA, Orders'!$C:$C,"Germany",'MAIN DATA, Orders'!$N:$N,"Sondervermögen",'MAIN DATA, Orders'!$G:$G,"Armoured vehicle",'MAIN DATA, Orders'!$Q:$Q,$A60))</f>
        <v>265</v>
      </c>
      <c r="E60" s="17">
        <f>(SUMIFS('MAIN DATA, Orders'!$I:$I,'MAIN DATA, Orders'!$C:$C,"Germany",'MAIN DATA, Orders'!$N:$N,"Einzelplan 60",'MAIN DATA, Orders'!$G:$G,"Armoured vehicle",'MAIN DATA, Orders'!$Q:$Q,$A60))</f>
        <v>0</v>
      </c>
    </row>
    <row r="61" spans="1:5">
      <c r="A61" s="72">
        <v>55</v>
      </c>
      <c r="B61" s="155">
        <v>45474</v>
      </c>
      <c r="C61" s="60">
        <f>(SUMIFS('MAIN DATA, Orders'!$I:$I,'MAIN DATA, Orders'!$C:$C,"Germany",'MAIN DATA, Orders'!$N:$N,"Einzelplan 14",'MAIN DATA, Orders'!$G:$G,"Armoured vehicle",'MAIN DATA, Orders'!$Q:$Q,$A61))</f>
        <v>0</v>
      </c>
      <c r="D61" s="60">
        <f>(SUMIFS('MAIN DATA, Orders'!$I:$I,'MAIN DATA, Orders'!$C:$C,"Germany",'MAIN DATA, Orders'!$N:$N,"Sondervermögen",'MAIN DATA, Orders'!$G:$G,"Armoured vehicle",'MAIN DATA, Orders'!$Q:$Q,$A61))</f>
        <v>0</v>
      </c>
      <c r="E61" s="60">
        <f>(SUMIFS('MAIN DATA, Orders'!$I:$I,'MAIN DATA, Orders'!$C:$C,"Germany",'MAIN DATA, Orders'!$N:$N,"Einzelplan 60",'MAIN DATA, Orders'!$G:$G,"Armoured vehicle",'MAIN DATA, Orders'!$Q:$Q,$A61))</f>
        <v>0</v>
      </c>
    </row>
    <row r="62" spans="1:5">
      <c r="A62" s="199"/>
      <c r="B62" s="199"/>
      <c r="C62" s="199"/>
      <c r="D62" s="199"/>
      <c r="E62" s="199"/>
    </row>
    <row r="63" spans="1:5">
      <c r="A63" s="199"/>
      <c r="B63" s="71" t="s">
        <v>1431</v>
      </c>
      <c r="C63" s="71">
        <f>SUM(C7:C61)</f>
        <v>832</v>
      </c>
      <c r="D63" s="71">
        <f>SUM(D7:D61)</f>
        <v>3081</v>
      </c>
      <c r="E63" s="71">
        <f>SUM(E7:E61)</f>
        <v>50</v>
      </c>
    </row>
  </sheetData>
  <mergeCells count="1">
    <mergeCell ref="B4:G4"/>
  </mergeCells>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B70FB-F00D-44B0-BB14-A48C610B34DC}">
  <sheetPr>
    <tabColor theme="9" tint="0.59999389629810485"/>
  </sheetPr>
  <dimension ref="A2:F63"/>
  <sheetViews>
    <sheetView workbookViewId="0"/>
  </sheetViews>
  <sheetFormatPr defaultColWidth="8.69921875" defaultRowHeight="15.6"/>
  <cols>
    <col min="1" max="1" width="8.69921875" style="1"/>
    <col min="2" max="2" width="13.5" style="1" customWidth="1"/>
    <col min="3" max="3" width="20.69921875" style="1" bestFit="1" customWidth="1"/>
    <col min="4" max="4" width="23.69921875" style="1" bestFit="1" customWidth="1"/>
    <col min="5" max="5" width="20.69921875" style="1" bestFit="1" customWidth="1"/>
    <col min="6" max="16384" width="8.69921875" style="1"/>
  </cols>
  <sheetData>
    <row r="2" spans="1:6" ht="25.2">
      <c r="B2" s="67" t="s">
        <v>1683</v>
      </c>
    </row>
    <row r="4" spans="1:6" ht="130.19999999999999" customHeight="1">
      <c r="B4" s="206" t="s">
        <v>1684</v>
      </c>
      <c r="C4" s="206"/>
      <c r="D4" s="206"/>
      <c r="E4" s="206"/>
      <c r="F4" s="206"/>
    </row>
    <row r="6" spans="1:6" ht="21" customHeight="1">
      <c r="A6" s="199"/>
      <c r="B6" s="161" t="s">
        <v>1404</v>
      </c>
      <c r="C6" s="162" t="s">
        <v>165</v>
      </c>
      <c r="D6" s="162" t="s">
        <v>665</v>
      </c>
      <c r="E6" s="162" t="s">
        <v>784</v>
      </c>
    </row>
    <row r="7" spans="1:6">
      <c r="A7" s="72">
        <v>1</v>
      </c>
      <c r="B7" s="68">
        <v>43831</v>
      </c>
      <c r="C7" s="61">
        <f>(SUMIFS('MAIN DATA, Orders'!$M:$M,'MAIN DATA, Orders'!$C:$C,"Germany",'MAIN DATA, Orders'!$N:$N,"Einzelplan 14",'MAIN DATA, Orders'!$G:$G,"Aircraft",'MAIN DATA, Orders'!$Q:$Q,$A7)/1000000000)</f>
        <v>0</v>
      </c>
      <c r="D7" s="61">
        <f>(SUMIFS('MAIN DATA, Orders'!$M:$M,'MAIN DATA, Orders'!$C:$C,"Germany",'MAIN DATA, Orders'!$N:$N,"Sondervermögen",'MAIN DATA, Orders'!$G:$G,"Aircraft",'MAIN DATA, Orders'!$Q:$Q,$A7)/1000000000)</f>
        <v>0</v>
      </c>
      <c r="E7" s="61">
        <f>(SUMIFS('MAIN DATA, Orders'!$M:$M,'MAIN DATA, Orders'!$C:$C,"Germany",'MAIN DATA, Orders'!$N:$N,"Einzelplan 60",'MAIN DATA, Orders'!$G:$G,"Aircraft",'MAIN DATA, Orders'!$Q:$Q,$A7)/1000000000)</f>
        <v>0</v>
      </c>
    </row>
    <row r="8" spans="1:6">
      <c r="A8" s="72">
        <v>2</v>
      </c>
      <c r="B8" s="68">
        <v>43862</v>
      </c>
      <c r="C8" s="61">
        <f>(SUMIFS('MAIN DATA, Orders'!$M:$M,'MAIN DATA, Orders'!$C:$C,"Germany",'MAIN DATA, Orders'!$N:$N,"Einzelplan 14",'MAIN DATA, Orders'!$G:$G,"Aircraft",'MAIN DATA, Orders'!$Q:$Q,$A8)/1000000000)</f>
        <v>0</v>
      </c>
      <c r="D8" s="61">
        <f>(SUMIFS('MAIN DATA, Orders'!$M:$M,'MAIN DATA, Orders'!$C:$C,"Germany",'MAIN DATA, Orders'!$N:$N,"Sondervermögen",'MAIN DATA, Orders'!$G:$G,"Aircraft",'MAIN DATA, Orders'!$Q:$Q,$A8)/1000000000)</f>
        <v>0</v>
      </c>
      <c r="E8" s="61">
        <f>(SUMIFS('MAIN DATA, Orders'!$M:$M,'MAIN DATA, Orders'!$C:$C,"Germany",'MAIN DATA, Orders'!$N:$N,"Einzelplan 60",'MAIN DATA, Orders'!$G:$G,"Aircraft",'MAIN DATA, Orders'!$Q:$Q,$A8)/1000000000)</f>
        <v>0</v>
      </c>
    </row>
    <row r="9" spans="1:6">
      <c r="A9" s="72">
        <v>3</v>
      </c>
      <c r="B9" s="68">
        <v>43891</v>
      </c>
      <c r="C9" s="61">
        <f>(SUMIFS('MAIN DATA, Orders'!$M:$M,'MAIN DATA, Orders'!$C:$C,"Germany",'MAIN DATA, Orders'!$N:$N,"Einzelplan 14",'MAIN DATA, Orders'!$G:$G,"Aircraft",'MAIN DATA, Orders'!$Q:$Q,$A9)/1000000000)</f>
        <v>0</v>
      </c>
      <c r="D9" s="61">
        <f>(SUMIFS('MAIN DATA, Orders'!$M:$M,'MAIN DATA, Orders'!$C:$C,"Germany",'MAIN DATA, Orders'!$N:$N,"Sondervermögen",'MAIN DATA, Orders'!$G:$G,"Aircraft",'MAIN DATA, Orders'!$Q:$Q,$A9)/1000000000)</f>
        <v>0</v>
      </c>
      <c r="E9" s="61">
        <f>(SUMIFS('MAIN DATA, Orders'!$M:$M,'MAIN DATA, Orders'!$C:$C,"Germany",'MAIN DATA, Orders'!$N:$N,"Einzelplan 60",'MAIN DATA, Orders'!$G:$G,"Aircraft",'MAIN DATA, Orders'!$Q:$Q,$A9)/1000000000)</f>
        <v>0</v>
      </c>
    </row>
    <row r="10" spans="1:6">
      <c r="A10" s="72">
        <v>4</v>
      </c>
      <c r="B10" s="68">
        <v>43922</v>
      </c>
      <c r="C10" s="61">
        <f>(SUMIFS('MAIN DATA, Orders'!$M:$M,'MAIN DATA, Orders'!$C:$C,"Germany",'MAIN DATA, Orders'!$N:$N,"Einzelplan 14",'MAIN DATA, Orders'!$G:$G,"Aircraft",'MAIN DATA, Orders'!$Q:$Q,$A10)/1000000000)</f>
        <v>0</v>
      </c>
      <c r="D10" s="61">
        <f>(SUMIFS('MAIN DATA, Orders'!$M:$M,'MAIN DATA, Orders'!$C:$C,"Germany",'MAIN DATA, Orders'!$N:$N,"Sondervermögen",'MAIN DATA, Orders'!$G:$G,"Aircraft",'MAIN DATA, Orders'!$Q:$Q,$A10)/1000000000)</f>
        <v>0</v>
      </c>
      <c r="E10" s="61">
        <f>(SUMIFS('MAIN DATA, Orders'!$M:$M,'MAIN DATA, Orders'!$C:$C,"Germany",'MAIN DATA, Orders'!$N:$N,"Einzelplan 60",'MAIN DATA, Orders'!$G:$G,"Aircraft",'MAIN DATA, Orders'!$Q:$Q,$A10)/1000000000)</f>
        <v>0</v>
      </c>
    </row>
    <row r="11" spans="1:6">
      <c r="A11" s="72">
        <v>5</v>
      </c>
      <c r="B11" s="68">
        <v>43952</v>
      </c>
      <c r="C11" s="61">
        <f>(SUMIFS('MAIN DATA, Orders'!$M:$M,'MAIN DATA, Orders'!$C:$C,"Germany",'MAIN DATA, Orders'!$N:$N,"Einzelplan 14",'MAIN DATA, Orders'!$G:$G,"Aircraft",'MAIN DATA, Orders'!$Q:$Q,$A11)/1000000000)</f>
        <v>0</v>
      </c>
      <c r="D11" s="61">
        <f>(SUMIFS('MAIN DATA, Orders'!$M:$M,'MAIN DATA, Orders'!$C:$C,"Germany",'MAIN DATA, Orders'!$N:$N,"Sondervermögen",'MAIN DATA, Orders'!$G:$G,"Aircraft",'MAIN DATA, Orders'!$Q:$Q,$A11)/1000000000)</f>
        <v>0</v>
      </c>
      <c r="E11" s="61">
        <f>(SUMIFS('MAIN DATA, Orders'!$M:$M,'MAIN DATA, Orders'!$C:$C,"Germany",'MAIN DATA, Orders'!$N:$N,"Einzelplan 60",'MAIN DATA, Orders'!$G:$G,"Aircraft",'MAIN DATA, Orders'!$Q:$Q,$A11)/1000000000)</f>
        <v>0</v>
      </c>
    </row>
    <row r="12" spans="1:6">
      <c r="A12" s="72">
        <v>6</v>
      </c>
      <c r="B12" s="68">
        <v>43983</v>
      </c>
      <c r="C12" s="61">
        <f>(SUMIFS('MAIN DATA, Orders'!$M:$M,'MAIN DATA, Orders'!$C:$C,"Germany",'MAIN DATA, Orders'!$N:$N,"Einzelplan 14",'MAIN DATA, Orders'!$G:$G,"Aircraft",'MAIN DATA, Orders'!$Q:$Q,$A12)/1000000000)</f>
        <v>2.8</v>
      </c>
      <c r="D12" s="61">
        <f>(SUMIFS('MAIN DATA, Orders'!$M:$M,'MAIN DATA, Orders'!$C:$C,"Germany",'MAIN DATA, Orders'!$N:$N,"Sondervermögen",'MAIN DATA, Orders'!$G:$G,"Aircraft",'MAIN DATA, Orders'!$Q:$Q,$A12)/1000000000)</f>
        <v>0</v>
      </c>
      <c r="E12" s="61">
        <f>(SUMIFS('MAIN DATA, Orders'!$M:$M,'MAIN DATA, Orders'!$C:$C,"Germany",'MAIN DATA, Orders'!$N:$N,"Einzelplan 60",'MAIN DATA, Orders'!$G:$G,"Aircraft",'MAIN DATA, Orders'!$Q:$Q,$A12)/1000000000)</f>
        <v>0</v>
      </c>
    </row>
    <row r="13" spans="1:6">
      <c r="A13" s="72">
        <v>7</v>
      </c>
      <c r="B13" s="68">
        <v>44013</v>
      </c>
      <c r="C13" s="61">
        <f>(SUMIFS('MAIN DATA, Orders'!$M:$M,'MAIN DATA, Orders'!$C:$C,"Germany",'MAIN DATA, Orders'!$N:$N,"Einzelplan 14",'MAIN DATA, Orders'!$G:$G,"Aircraft",'MAIN DATA, Orders'!$Q:$Q,$A13)/1000000000)</f>
        <v>0</v>
      </c>
      <c r="D13" s="61">
        <f>(SUMIFS('MAIN DATA, Orders'!$M:$M,'MAIN DATA, Orders'!$C:$C,"Germany",'MAIN DATA, Orders'!$N:$N,"Sondervermögen",'MAIN DATA, Orders'!$G:$G,"Aircraft",'MAIN DATA, Orders'!$Q:$Q,$A13)/1000000000)</f>
        <v>0</v>
      </c>
      <c r="E13" s="61">
        <f>(SUMIFS('MAIN DATA, Orders'!$M:$M,'MAIN DATA, Orders'!$C:$C,"Germany",'MAIN DATA, Orders'!$N:$N,"Einzelplan 60",'MAIN DATA, Orders'!$G:$G,"Aircraft",'MAIN DATA, Orders'!$Q:$Q,$A13)/1000000000)</f>
        <v>0</v>
      </c>
    </row>
    <row r="14" spans="1:6">
      <c r="A14" s="72">
        <v>8</v>
      </c>
      <c r="B14" s="68">
        <v>44044</v>
      </c>
      <c r="C14" s="61">
        <f>(SUMIFS('MAIN DATA, Orders'!$M:$M,'MAIN DATA, Orders'!$C:$C,"Germany",'MAIN DATA, Orders'!$N:$N,"Einzelplan 14",'MAIN DATA, Orders'!$G:$G,"Aircraft",'MAIN DATA, Orders'!$Q:$Q,$A14)/1000000000)</f>
        <v>0</v>
      </c>
      <c r="D14" s="61">
        <f>(SUMIFS('MAIN DATA, Orders'!$M:$M,'MAIN DATA, Orders'!$C:$C,"Germany",'MAIN DATA, Orders'!$N:$N,"Sondervermögen",'MAIN DATA, Orders'!$G:$G,"Aircraft",'MAIN DATA, Orders'!$Q:$Q,$A14)/1000000000)</f>
        <v>0</v>
      </c>
      <c r="E14" s="61">
        <f>(SUMIFS('MAIN DATA, Orders'!$M:$M,'MAIN DATA, Orders'!$C:$C,"Germany",'MAIN DATA, Orders'!$N:$N,"Einzelplan 60",'MAIN DATA, Orders'!$G:$G,"Aircraft",'MAIN DATA, Orders'!$Q:$Q,$A14)/1000000000)</f>
        <v>0</v>
      </c>
    </row>
    <row r="15" spans="1:6">
      <c r="A15" s="72">
        <v>9</v>
      </c>
      <c r="B15" s="68">
        <v>44075</v>
      </c>
      <c r="C15" s="61">
        <f>(SUMIFS('MAIN DATA, Orders'!$M:$M,'MAIN DATA, Orders'!$C:$C,"Germany",'MAIN DATA, Orders'!$N:$N,"Einzelplan 14",'MAIN DATA, Orders'!$G:$G,"Aircraft",'MAIN DATA, Orders'!$Q:$Q,$A15)/1000000000)</f>
        <v>0.21299999999999999</v>
      </c>
      <c r="D15" s="61">
        <f>(SUMIFS('MAIN DATA, Orders'!$M:$M,'MAIN DATA, Orders'!$C:$C,"Germany",'MAIN DATA, Orders'!$N:$N,"Sondervermögen",'MAIN DATA, Orders'!$G:$G,"Aircraft",'MAIN DATA, Orders'!$Q:$Q,$A15)/1000000000)</f>
        <v>0</v>
      </c>
      <c r="E15" s="61">
        <f>(SUMIFS('MAIN DATA, Orders'!$M:$M,'MAIN DATA, Orders'!$C:$C,"Germany",'MAIN DATA, Orders'!$N:$N,"Einzelplan 60",'MAIN DATA, Orders'!$G:$G,"Aircraft",'MAIN DATA, Orders'!$Q:$Q,$A15)/1000000000)</f>
        <v>0</v>
      </c>
    </row>
    <row r="16" spans="1:6">
      <c r="A16" s="72">
        <v>10</v>
      </c>
      <c r="B16" s="68">
        <v>44105</v>
      </c>
      <c r="C16" s="61">
        <f>(SUMIFS('MAIN DATA, Orders'!$M:$M,'MAIN DATA, Orders'!$C:$C,"Germany",'MAIN DATA, Orders'!$N:$N,"Einzelplan 14",'MAIN DATA, Orders'!$G:$G,"Aircraft",'MAIN DATA, Orders'!$Q:$Q,$A16)/1000000000)</f>
        <v>0</v>
      </c>
      <c r="D16" s="61">
        <f>(SUMIFS('MAIN DATA, Orders'!$M:$M,'MAIN DATA, Orders'!$C:$C,"Germany",'MAIN DATA, Orders'!$N:$N,"Sondervermögen",'MAIN DATA, Orders'!$G:$G,"Aircraft",'MAIN DATA, Orders'!$Q:$Q,$A16)/1000000000)</f>
        <v>0</v>
      </c>
      <c r="E16" s="61">
        <f>(SUMIFS('MAIN DATA, Orders'!$M:$M,'MAIN DATA, Orders'!$C:$C,"Germany",'MAIN DATA, Orders'!$N:$N,"Einzelplan 60",'MAIN DATA, Orders'!$G:$G,"Aircraft",'MAIN DATA, Orders'!$Q:$Q,$A16)/1000000000)</f>
        <v>0</v>
      </c>
    </row>
    <row r="17" spans="1:5">
      <c r="A17" s="72">
        <v>11</v>
      </c>
      <c r="B17" s="68">
        <v>44136</v>
      </c>
      <c r="C17" s="61">
        <f>(SUMIFS('MAIN DATA, Orders'!$M:$M,'MAIN DATA, Orders'!$C:$C,"Germany",'MAIN DATA, Orders'!$N:$N,"Einzelplan 14",'MAIN DATA, Orders'!$G:$G,"Aircraft",'MAIN DATA, Orders'!$Q:$Q,$A17)/1000000000)</f>
        <v>5.5</v>
      </c>
      <c r="D17" s="61">
        <f>(SUMIFS('MAIN DATA, Orders'!$M:$M,'MAIN DATA, Orders'!$C:$C,"Germany",'MAIN DATA, Orders'!$N:$N,"Sondervermögen",'MAIN DATA, Orders'!$G:$G,"Aircraft",'MAIN DATA, Orders'!$Q:$Q,$A17)/1000000000)</f>
        <v>0</v>
      </c>
      <c r="E17" s="61">
        <f>(SUMIFS('MAIN DATA, Orders'!$M:$M,'MAIN DATA, Orders'!$C:$C,"Germany",'MAIN DATA, Orders'!$N:$N,"Einzelplan 60",'MAIN DATA, Orders'!$G:$G,"Aircraft",'MAIN DATA, Orders'!$Q:$Q,$A17)/1000000000)</f>
        <v>0</v>
      </c>
    </row>
    <row r="18" spans="1:5">
      <c r="A18" s="72">
        <v>12</v>
      </c>
      <c r="B18" s="68">
        <v>44166</v>
      </c>
      <c r="C18" s="61">
        <f>(SUMIFS('MAIN DATA, Orders'!$M:$M,'MAIN DATA, Orders'!$C:$C,"Germany",'MAIN DATA, Orders'!$N:$N,"Einzelplan 14",'MAIN DATA, Orders'!$G:$G,"Aircraft",'MAIN DATA, Orders'!$Q:$Q,$A18)/1000000000)</f>
        <v>0</v>
      </c>
      <c r="D18" s="61">
        <f>(SUMIFS('MAIN DATA, Orders'!$M:$M,'MAIN DATA, Orders'!$C:$C,"Germany",'MAIN DATA, Orders'!$N:$N,"Sondervermögen",'MAIN DATA, Orders'!$G:$G,"Aircraft",'MAIN DATA, Orders'!$Q:$Q,$A18)/1000000000)</f>
        <v>0</v>
      </c>
      <c r="E18" s="61">
        <f>(SUMIFS('MAIN DATA, Orders'!$M:$M,'MAIN DATA, Orders'!$C:$C,"Germany",'MAIN DATA, Orders'!$N:$N,"Einzelplan 60",'MAIN DATA, Orders'!$G:$G,"Aircraft",'MAIN DATA, Orders'!$Q:$Q,$A18)/1000000000)</f>
        <v>0</v>
      </c>
    </row>
    <row r="19" spans="1:5">
      <c r="A19" s="72">
        <v>13</v>
      </c>
      <c r="B19" s="68">
        <v>44197</v>
      </c>
      <c r="C19" s="61">
        <f>(SUMIFS('MAIN DATA, Orders'!$M:$M,'MAIN DATA, Orders'!$C:$C,"Germany",'MAIN DATA, Orders'!$N:$N,"Einzelplan 14",'MAIN DATA, Orders'!$G:$G,"Aircraft",'MAIN DATA, Orders'!$Q:$Q,$A19)/1000000000)</f>
        <v>0</v>
      </c>
      <c r="D19" s="61">
        <f>(SUMIFS('MAIN DATA, Orders'!$M:$M,'MAIN DATA, Orders'!$C:$C,"Germany",'MAIN DATA, Orders'!$N:$N,"Sondervermögen",'MAIN DATA, Orders'!$G:$G,"Aircraft",'MAIN DATA, Orders'!$Q:$Q,$A19)/1000000000)</f>
        <v>0</v>
      </c>
      <c r="E19" s="61">
        <f>(SUMIFS('MAIN DATA, Orders'!$M:$M,'MAIN DATA, Orders'!$C:$C,"Germany",'MAIN DATA, Orders'!$N:$N,"Einzelplan 60",'MAIN DATA, Orders'!$G:$G,"Aircraft",'MAIN DATA, Orders'!$Q:$Q,$A19)/1000000000)</f>
        <v>0</v>
      </c>
    </row>
    <row r="20" spans="1:5">
      <c r="A20" s="72">
        <v>14</v>
      </c>
      <c r="B20" s="68">
        <v>44228</v>
      </c>
      <c r="C20" s="61">
        <f>(SUMIFS('MAIN DATA, Orders'!$M:$M,'MAIN DATA, Orders'!$C:$C,"Germany",'MAIN DATA, Orders'!$N:$N,"Einzelplan 14",'MAIN DATA, Orders'!$G:$G,"Aircraft",'MAIN DATA, Orders'!$Q:$Q,$A20)/1000000000)</f>
        <v>0</v>
      </c>
      <c r="D20" s="61">
        <f>(SUMIFS('MAIN DATA, Orders'!$M:$M,'MAIN DATA, Orders'!$C:$C,"Germany",'MAIN DATA, Orders'!$N:$N,"Sondervermögen",'MAIN DATA, Orders'!$G:$G,"Aircraft",'MAIN DATA, Orders'!$Q:$Q,$A20)/1000000000)</f>
        <v>0</v>
      </c>
      <c r="E20" s="61">
        <f>(SUMIFS('MAIN DATA, Orders'!$M:$M,'MAIN DATA, Orders'!$C:$C,"Germany",'MAIN DATA, Orders'!$N:$N,"Einzelplan 60",'MAIN DATA, Orders'!$G:$G,"Aircraft",'MAIN DATA, Orders'!$Q:$Q,$A20)/1000000000)</f>
        <v>0</v>
      </c>
    </row>
    <row r="21" spans="1:5">
      <c r="A21" s="72">
        <v>15</v>
      </c>
      <c r="B21" s="68">
        <v>44256</v>
      </c>
      <c r="C21" s="61">
        <f>(SUMIFS('MAIN DATA, Orders'!$M:$M,'MAIN DATA, Orders'!$C:$C,"Germany",'MAIN DATA, Orders'!$N:$N,"Einzelplan 14",'MAIN DATA, Orders'!$G:$G,"Aircraft",'MAIN DATA, Orders'!$Q:$Q,$A21)/1000000000)</f>
        <v>0</v>
      </c>
      <c r="D21" s="61">
        <f>(SUMIFS('MAIN DATA, Orders'!$M:$M,'MAIN DATA, Orders'!$C:$C,"Germany",'MAIN DATA, Orders'!$N:$N,"Sondervermögen",'MAIN DATA, Orders'!$G:$G,"Aircraft",'MAIN DATA, Orders'!$Q:$Q,$A21)/1000000000)</f>
        <v>0</v>
      </c>
      <c r="E21" s="61">
        <f>(SUMIFS('MAIN DATA, Orders'!$M:$M,'MAIN DATA, Orders'!$C:$C,"Germany",'MAIN DATA, Orders'!$N:$N,"Einzelplan 60",'MAIN DATA, Orders'!$G:$G,"Aircraft",'MAIN DATA, Orders'!$Q:$Q,$A21)/1000000000)</f>
        <v>0</v>
      </c>
    </row>
    <row r="22" spans="1:5">
      <c r="A22" s="72">
        <v>16</v>
      </c>
      <c r="B22" s="68">
        <v>44287</v>
      </c>
      <c r="C22" s="61">
        <f>(SUMIFS('MAIN DATA, Orders'!$M:$M,'MAIN DATA, Orders'!$C:$C,"Germany",'MAIN DATA, Orders'!$N:$N,"Einzelplan 14",'MAIN DATA, Orders'!$G:$G,"Aircraft",'MAIN DATA, Orders'!$Q:$Q,$A22)/1000000000)</f>
        <v>0.105</v>
      </c>
      <c r="D22" s="61">
        <f>(SUMIFS('MAIN DATA, Orders'!$M:$M,'MAIN DATA, Orders'!$C:$C,"Germany",'MAIN DATA, Orders'!$N:$N,"Sondervermögen",'MAIN DATA, Orders'!$G:$G,"Aircraft",'MAIN DATA, Orders'!$Q:$Q,$A22)/1000000000)</f>
        <v>0</v>
      </c>
      <c r="E22" s="61">
        <f>(SUMIFS('MAIN DATA, Orders'!$M:$M,'MAIN DATA, Orders'!$C:$C,"Germany",'MAIN DATA, Orders'!$N:$N,"Einzelplan 60",'MAIN DATA, Orders'!$G:$G,"Aircraft",'MAIN DATA, Orders'!$Q:$Q,$A22)/1000000000)</f>
        <v>0</v>
      </c>
    </row>
    <row r="23" spans="1:5">
      <c r="A23" s="72">
        <v>17</v>
      </c>
      <c r="B23" s="68">
        <v>44317</v>
      </c>
      <c r="C23" s="61">
        <f>(SUMIFS('MAIN DATA, Orders'!$M:$M,'MAIN DATA, Orders'!$C:$C,"Germany",'MAIN DATA, Orders'!$N:$N,"Einzelplan 14",'MAIN DATA, Orders'!$G:$G,"Aircraft",'MAIN DATA, Orders'!$Q:$Q,$A23)/1000000000)</f>
        <v>0</v>
      </c>
      <c r="D23" s="61">
        <f>(SUMIFS('MAIN DATA, Orders'!$M:$M,'MAIN DATA, Orders'!$C:$C,"Germany",'MAIN DATA, Orders'!$N:$N,"Sondervermögen",'MAIN DATA, Orders'!$G:$G,"Aircraft",'MAIN DATA, Orders'!$Q:$Q,$A23)/1000000000)</f>
        <v>0</v>
      </c>
      <c r="E23" s="61">
        <f>(SUMIFS('MAIN DATA, Orders'!$M:$M,'MAIN DATA, Orders'!$C:$C,"Germany",'MAIN DATA, Orders'!$N:$N,"Einzelplan 60",'MAIN DATA, Orders'!$G:$G,"Aircraft",'MAIN DATA, Orders'!$Q:$Q,$A23)/1000000000)</f>
        <v>0</v>
      </c>
    </row>
    <row r="24" spans="1:5">
      <c r="A24" s="72">
        <v>18</v>
      </c>
      <c r="B24" s="68">
        <v>44348</v>
      </c>
      <c r="C24" s="61">
        <f>(SUMIFS('MAIN DATA, Orders'!$M:$M,'MAIN DATA, Orders'!$C:$C,"Germany",'MAIN DATA, Orders'!$N:$N,"Einzelplan 14",'MAIN DATA, Orders'!$G:$G,"Aircraft",'MAIN DATA, Orders'!$Q:$Q,$A24)/1000000000)</f>
        <v>1.8129999999999999</v>
      </c>
      <c r="D24" s="61">
        <f>(SUMIFS('MAIN DATA, Orders'!$M:$M,'MAIN DATA, Orders'!$C:$C,"Germany",'MAIN DATA, Orders'!$N:$N,"Sondervermögen",'MAIN DATA, Orders'!$G:$G,"Aircraft",'MAIN DATA, Orders'!$Q:$Q,$A24)/1000000000)</f>
        <v>0</v>
      </c>
      <c r="E24" s="61">
        <f>(SUMIFS('MAIN DATA, Orders'!$M:$M,'MAIN DATA, Orders'!$C:$C,"Germany",'MAIN DATA, Orders'!$N:$N,"Einzelplan 60",'MAIN DATA, Orders'!$G:$G,"Aircraft",'MAIN DATA, Orders'!$Q:$Q,$A24)/1000000000)</f>
        <v>0</v>
      </c>
    </row>
    <row r="25" spans="1:5">
      <c r="A25" s="72">
        <v>19</v>
      </c>
      <c r="B25" s="68">
        <v>44378</v>
      </c>
      <c r="C25" s="61">
        <f>(SUMIFS('MAIN DATA, Orders'!$M:$M,'MAIN DATA, Orders'!$C:$C,"Germany",'MAIN DATA, Orders'!$N:$N,"Einzelplan 14",'MAIN DATA, Orders'!$G:$G,"Aircraft",'MAIN DATA, Orders'!$Q:$Q,$A25)/1000000000)</f>
        <v>0</v>
      </c>
      <c r="D25" s="61">
        <f>(SUMIFS('MAIN DATA, Orders'!$M:$M,'MAIN DATA, Orders'!$C:$C,"Germany",'MAIN DATA, Orders'!$N:$N,"Sondervermögen",'MAIN DATA, Orders'!$G:$G,"Aircraft",'MAIN DATA, Orders'!$Q:$Q,$A25)/1000000000)</f>
        <v>0</v>
      </c>
      <c r="E25" s="61">
        <f>(SUMIFS('MAIN DATA, Orders'!$M:$M,'MAIN DATA, Orders'!$C:$C,"Germany",'MAIN DATA, Orders'!$N:$N,"Einzelplan 60",'MAIN DATA, Orders'!$G:$G,"Aircraft",'MAIN DATA, Orders'!$Q:$Q,$A25)/1000000000)</f>
        <v>0</v>
      </c>
    </row>
    <row r="26" spans="1:5">
      <c r="A26" s="72">
        <v>20</v>
      </c>
      <c r="B26" s="68">
        <v>44409</v>
      </c>
      <c r="C26" s="61">
        <f>(SUMIFS('MAIN DATA, Orders'!$M:$M,'MAIN DATA, Orders'!$C:$C,"Germany",'MAIN DATA, Orders'!$N:$N,"Einzelplan 14",'MAIN DATA, Orders'!$G:$G,"Aircraft",'MAIN DATA, Orders'!$Q:$Q,$A26)/1000000000)</f>
        <v>0</v>
      </c>
      <c r="D26" s="61">
        <f>(SUMIFS('MAIN DATA, Orders'!$M:$M,'MAIN DATA, Orders'!$C:$C,"Germany",'MAIN DATA, Orders'!$N:$N,"Sondervermögen",'MAIN DATA, Orders'!$G:$G,"Aircraft",'MAIN DATA, Orders'!$Q:$Q,$A26)/1000000000)</f>
        <v>0</v>
      </c>
      <c r="E26" s="61">
        <f>(SUMIFS('MAIN DATA, Orders'!$M:$M,'MAIN DATA, Orders'!$C:$C,"Germany",'MAIN DATA, Orders'!$N:$N,"Einzelplan 60",'MAIN DATA, Orders'!$G:$G,"Aircraft",'MAIN DATA, Orders'!$Q:$Q,$A26)/1000000000)</f>
        <v>0</v>
      </c>
    </row>
    <row r="27" spans="1:5">
      <c r="A27" s="72">
        <v>21</v>
      </c>
      <c r="B27" s="68">
        <v>44440</v>
      </c>
      <c r="C27" s="61">
        <f>(SUMIFS('MAIN DATA, Orders'!$M:$M,'MAIN DATA, Orders'!$C:$C,"Germany",'MAIN DATA, Orders'!$N:$N,"Einzelplan 14",'MAIN DATA, Orders'!$G:$G,"Aircraft",'MAIN DATA, Orders'!$Q:$Q,$A27)/1000000000)</f>
        <v>0</v>
      </c>
      <c r="D27" s="61">
        <f>(SUMIFS('MAIN DATA, Orders'!$M:$M,'MAIN DATA, Orders'!$C:$C,"Germany",'MAIN DATA, Orders'!$N:$N,"Sondervermögen",'MAIN DATA, Orders'!$G:$G,"Aircraft",'MAIN DATA, Orders'!$Q:$Q,$A27)/1000000000)</f>
        <v>0</v>
      </c>
      <c r="E27" s="61">
        <f>(SUMIFS('MAIN DATA, Orders'!$M:$M,'MAIN DATA, Orders'!$C:$C,"Germany",'MAIN DATA, Orders'!$N:$N,"Einzelplan 60",'MAIN DATA, Orders'!$G:$G,"Aircraft",'MAIN DATA, Orders'!$Q:$Q,$A27)/1000000000)</f>
        <v>0</v>
      </c>
    </row>
    <row r="28" spans="1:5">
      <c r="A28" s="72">
        <v>22</v>
      </c>
      <c r="B28" s="68">
        <v>44470</v>
      </c>
      <c r="C28" s="61">
        <f>(SUMIFS('MAIN DATA, Orders'!$M:$M,'MAIN DATA, Orders'!$C:$C,"Germany",'MAIN DATA, Orders'!$N:$N,"Einzelplan 14",'MAIN DATA, Orders'!$G:$G,"Aircraft",'MAIN DATA, Orders'!$Q:$Q,$A28)/1000000000)</f>
        <v>0</v>
      </c>
      <c r="D28" s="61">
        <f>(SUMIFS('MAIN DATA, Orders'!$M:$M,'MAIN DATA, Orders'!$C:$C,"Germany",'MAIN DATA, Orders'!$N:$N,"Sondervermögen",'MAIN DATA, Orders'!$G:$G,"Aircraft",'MAIN DATA, Orders'!$Q:$Q,$A28)/1000000000)</f>
        <v>0</v>
      </c>
      <c r="E28" s="61">
        <f>(SUMIFS('MAIN DATA, Orders'!$M:$M,'MAIN DATA, Orders'!$C:$C,"Germany",'MAIN DATA, Orders'!$N:$N,"Einzelplan 60",'MAIN DATA, Orders'!$G:$G,"Aircraft",'MAIN DATA, Orders'!$Q:$Q,$A28)/1000000000)</f>
        <v>0</v>
      </c>
    </row>
    <row r="29" spans="1:5">
      <c r="A29" s="72">
        <v>23</v>
      </c>
      <c r="B29" s="68">
        <v>44501</v>
      </c>
      <c r="C29" s="61">
        <f>(SUMIFS('MAIN DATA, Orders'!$M:$M,'MAIN DATA, Orders'!$C:$C,"Germany",'MAIN DATA, Orders'!$N:$N,"Einzelplan 14",'MAIN DATA, Orders'!$G:$G,"Aircraft",'MAIN DATA, Orders'!$Q:$Q,$A29)/1000000000)</f>
        <v>0</v>
      </c>
      <c r="D29" s="61">
        <f>(SUMIFS('MAIN DATA, Orders'!$M:$M,'MAIN DATA, Orders'!$C:$C,"Germany",'MAIN DATA, Orders'!$N:$N,"Sondervermögen",'MAIN DATA, Orders'!$G:$G,"Aircraft",'MAIN DATA, Orders'!$Q:$Q,$A29)/1000000000)</f>
        <v>0</v>
      </c>
      <c r="E29" s="61">
        <f>(SUMIFS('MAIN DATA, Orders'!$M:$M,'MAIN DATA, Orders'!$C:$C,"Germany",'MAIN DATA, Orders'!$N:$N,"Einzelplan 60",'MAIN DATA, Orders'!$G:$G,"Aircraft",'MAIN DATA, Orders'!$Q:$Q,$A29)/1000000000)</f>
        <v>0</v>
      </c>
    </row>
    <row r="30" spans="1:5">
      <c r="A30" s="72">
        <v>24</v>
      </c>
      <c r="B30" s="68">
        <v>44531</v>
      </c>
      <c r="C30" s="61">
        <f>(SUMIFS('MAIN DATA, Orders'!$M:$M,'MAIN DATA, Orders'!$C:$C,"Germany",'MAIN DATA, Orders'!$N:$N,"Einzelplan 14",'MAIN DATA, Orders'!$G:$G,"Aircraft",'MAIN DATA, Orders'!$Q:$Q,$A30)/1000000000)</f>
        <v>0</v>
      </c>
      <c r="D30" s="61">
        <f>(SUMIFS('MAIN DATA, Orders'!$M:$M,'MAIN DATA, Orders'!$C:$C,"Germany",'MAIN DATA, Orders'!$N:$N,"Sondervermögen",'MAIN DATA, Orders'!$G:$G,"Aircraft",'MAIN DATA, Orders'!$Q:$Q,$A30)/1000000000)</f>
        <v>0</v>
      </c>
      <c r="E30" s="61">
        <f>(SUMIFS('MAIN DATA, Orders'!$M:$M,'MAIN DATA, Orders'!$C:$C,"Germany",'MAIN DATA, Orders'!$N:$N,"Einzelplan 60",'MAIN DATA, Orders'!$G:$G,"Aircraft",'MAIN DATA, Orders'!$Q:$Q,$A30)/1000000000)</f>
        <v>0</v>
      </c>
    </row>
    <row r="31" spans="1:5">
      <c r="A31" s="72">
        <v>25</v>
      </c>
      <c r="B31" s="68">
        <v>44562</v>
      </c>
      <c r="C31" s="61">
        <f>(SUMIFS('MAIN DATA, Orders'!$M:$M,'MAIN DATA, Orders'!$C:$C,"Germany",'MAIN DATA, Orders'!$N:$N,"Einzelplan 14",'MAIN DATA, Orders'!$G:$G,"Aircraft",'MAIN DATA, Orders'!$Q:$Q,$A31)/1000000000)</f>
        <v>0</v>
      </c>
      <c r="D31" s="61">
        <f>(SUMIFS('MAIN DATA, Orders'!$M:$M,'MAIN DATA, Orders'!$C:$C,"Germany",'MAIN DATA, Orders'!$N:$N,"Sondervermögen",'MAIN DATA, Orders'!$G:$G,"Aircraft",'MAIN DATA, Orders'!$Q:$Q,$A31)/1000000000)</f>
        <v>0</v>
      </c>
      <c r="E31" s="61">
        <f>(SUMIFS('MAIN DATA, Orders'!$M:$M,'MAIN DATA, Orders'!$C:$C,"Germany",'MAIN DATA, Orders'!$N:$N,"Einzelplan 60",'MAIN DATA, Orders'!$G:$G,"Aircraft",'MAIN DATA, Orders'!$Q:$Q,$A31)/1000000000)</f>
        <v>0</v>
      </c>
    </row>
    <row r="32" spans="1:5">
      <c r="A32" s="72">
        <v>26</v>
      </c>
      <c r="B32" s="68">
        <v>44593</v>
      </c>
      <c r="C32" s="61">
        <f>(SUMIFS('MAIN DATA, Orders'!$M:$M,'MAIN DATA, Orders'!$C:$C,"Germany",'MAIN DATA, Orders'!$N:$N,"Einzelplan 14",'MAIN DATA, Orders'!$G:$G,"Aircraft",'MAIN DATA, Orders'!$Q:$Q,$A32)/1000000000)</f>
        <v>0</v>
      </c>
      <c r="D32" s="61">
        <f>(SUMIFS('MAIN DATA, Orders'!$M:$M,'MAIN DATA, Orders'!$C:$C,"Germany",'MAIN DATA, Orders'!$N:$N,"Sondervermögen",'MAIN DATA, Orders'!$G:$G,"Aircraft",'MAIN DATA, Orders'!$Q:$Q,$A32)/1000000000)</f>
        <v>0</v>
      </c>
      <c r="E32" s="61">
        <f>(SUMIFS('MAIN DATA, Orders'!$M:$M,'MAIN DATA, Orders'!$C:$C,"Germany",'MAIN DATA, Orders'!$N:$N,"Einzelplan 60",'MAIN DATA, Orders'!$G:$G,"Aircraft",'MAIN DATA, Orders'!$Q:$Q,$A32)/1000000000)</f>
        <v>0</v>
      </c>
    </row>
    <row r="33" spans="1:5">
      <c r="A33" s="72">
        <v>27</v>
      </c>
      <c r="B33" s="68">
        <v>44621</v>
      </c>
      <c r="C33" s="61">
        <f>(SUMIFS('MAIN DATA, Orders'!$M:$M,'MAIN DATA, Orders'!$C:$C,"Germany",'MAIN DATA, Orders'!$N:$N,"Einzelplan 14",'MAIN DATA, Orders'!$G:$G,"Aircraft",'MAIN DATA, Orders'!$Q:$Q,$A33)/1000000000)</f>
        <v>0</v>
      </c>
      <c r="D33" s="61">
        <f>(SUMIFS('MAIN DATA, Orders'!$M:$M,'MAIN DATA, Orders'!$C:$C,"Germany",'MAIN DATA, Orders'!$N:$N,"Sondervermögen",'MAIN DATA, Orders'!$G:$G,"Aircraft",'MAIN DATA, Orders'!$Q:$Q,$A33)/1000000000)</f>
        <v>0</v>
      </c>
      <c r="E33" s="61">
        <f>(SUMIFS('MAIN DATA, Orders'!$M:$M,'MAIN DATA, Orders'!$C:$C,"Germany",'MAIN DATA, Orders'!$N:$N,"Einzelplan 60",'MAIN DATA, Orders'!$G:$G,"Aircraft",'MAIN DATA, Orders'!$Q:$Q,$A33)/1000000000)</f>
        <v>0</v>
      </c>
    </row>
    <row r="34" spans="1:5">
      <c r="A34" s="72">
        <v>28</v>
      </c>
      <c r="B34" s="68">
        <v>44652</v>
      </c>
      <c r="C34" s="61">
        <f>(SUMIFS('MAIN DATA, Orders'!$M:$M,'MAIN DATA, Orders'!$C:$C,"Germany",'MAIN DATA, Orders'!$N:$N,"Einzelplan 14",'MAIN DATA, Orders'!$G:$G,"Aircraft",'MAIN DATA, Orders'!$Q:$Q,$A34)/1000000000)</f>
        <v>0</v>
      </c>
      <c r="D34" s="61">
        <f>(SUMIFS('MAIN DATA, Orders'!$M:$M,'MAIN DATA, Orders'!$C:$C,"Germany",'MAIN DATA, Orders'!$N:$N,"Sondervermögen",'MAIN DATA, Orders'!$G:$G,"Aircraft",'MAIN DATA, Orders'!$Q:$Q,$A34)/1000000000)</f>
        <v>0</v>
      </c>
      <c r="E34" s="61">
        <f>(SUMIFS('MAIN DATA, Orders'!$M:$M,'MAIN DATA, Orders'!$C:$C,"Germany",'MAIN DATA, Orders'!$N:$N,"Einzelplan 60",'MAIN DATA, Orders'!$G:$G,"Aircraft",'MAIN DATA, Orders'!$Q:$Q,$A34)/1000000000)</f>
        <v>0</v>
      </c>
    </row>
    <row r="35" spans="1:5">
      <c r="A35" s="72">
        <v>29</v>
      </c>
      <c r="B35" s="68">
        <v>44682</v>
      </c>
      <c r="C35" s="61">
        <f>(SUMIFS('MAIN DATA, Orders'!$M:$M,'MAIN DATA, Orders'!$C:$C,"Germany",'MAIN DATA, Orders'!$N:$N,"Einzelplan 14",'MAIN DATA, Orders'!$G:$G,"Aircraft",'MAIN DATA, Orders'!$Q:$Q,$A35)/1000000000)</f>
        <v>0</v>
      </c>
      <c r="D35" s="61">
        <f>(SUMIFS('MAIN DATA, Orders'!$M:$M,'MAIN DATA, Orders'!$C:$C,"Germany",'MAIN DATA, Orders'!$N:$N,"Sondervermögen",'MAIN DATA, Orders'!$G:$G,"Aircraft",'MAIN DATA, Orders'!$Q:$Q,$A35)/1000000000)</f>
        <v>0</v>
      </c>
      <c r="E35" s="61">
        <f>(SUMIFS('MAIN DATA, Orders'!$M:$M,'MAIN DATA, Orders'!$C:$C,"Germany",'MAIN DATA, Orders'!$N:$N,"Einzelplan 60",'MAIN DATA, Orders'!$G:$G,"Aircraft",'MAIN DATA, Orders'!$Q:$Q,$A35)/1000000000)</f>
        <v>0</v>
      </c>
    </row>
    <row r="36" spans="1:5">
      <c r="A36" s="72">
        <v>30</v>
      </c>
      <c r="B36" s="68">
        <v>44713</v>
      </c>
      <c r="C36" s="61">
        <f>(SUMIFS('MAIN DATA, Orders'!$M:$M,'MAIN DATA, Orders'!$C:$C,"Germany",'MAIN DATA, Orders'!$N:$N,"Einzelplan 14",'MAIN DATA, Orders'!$G:$G,"Aircraft",'MAIN DATA, Orders'!$Q:$Q,$A36)/1000000000)</f>
        <v>0</v>
      </c>
      <c r="D36" s="61">
        <f>(SUMIFS('MAIN DATA, Orders'!$M:$M,'MAIN DATA, Orders'!$C:$C,"Germany",'MAIN DATA, Orders'!$N:$N,"Sondervermögen",'MAIN DATA, Orders'!$G:$G,"Aircraft",'MAIN DATA, Orders'!$Q:$Q,$A36)/1000000000)</f>
        <v>0</v>
      </c>
      <c r="E36" s="61">
        <f>(SUMIFS('MAIN DATA, Orders'!$M:$M,'MAIN DATA, Orders'!$C:$C,"Germany",'MAIN DATA, Orders'!$N:$N,"Einzelplan 60",'MAIN DATA, Orders'!$G:$G,"Aircraft",'MAIN DATA, Orders'!$Q:$Q,$A36)/1000000000)</f>
        <v>0</v>
      </c>
    </row>
    <row r="37" spans="1:5">
      <c r="A37" s="72">
        <v>31</v>
      </c>
      <c r="B37" s="68">
        <v>44743</v>
      </c>
      <c r="C37" s="61">
        <f>(SUMIFS('MAIN DATA, Orders'!$M:$M,'MAIN DATA, Orders'!$C:$C,"Germany",'MAIN DATA, Orders'!$N:$N,"Einzelplan 14",'MAIN DATA, Orders'!$G:$G,"Aircraft",'MAIN DATA, Orders'!$Q:$Q,$A37)/1000000000)</f>
        <v>0</v>
      </c>
      <c r="D37" s="61">
        <f>(SUMIFS('MAIN DATA, Orders'!$M:$M,'MAIN DATA, Orders'!$C:$C,"Germany",'MAIN DATA, Orders'!$N:$N,"Sondervermögen",'MAIN DATA, Orders'!$G:$G,"Aircraft",'MAIN DATA, Orders'!$Q:$Q,$A37)/1000000000)</f>
        <v>0</v>
      </c>
      <c r="E37" s="61">
        <f>(SUMIFS('MAIN DATA, Orders'!$M:$M,'MAIN DATA, Orders'!$C:$C,"Germany",'MAIN DATA, Orders'!$N:$N,"Einzelplan 60",'MAIN DATA, Orders'!$G:$G,"Aircraft",'MAIN DATA, Orders'!$Q:$Q,$A37)/1000000000)</f>
        <v>0</v>
      </c>
    </row>
    <row r="38" spans="1:5">
      <c r="A38" s="72">
        <v>32</v>
      </c>
      <c r="B38" s="68">
        <v>44774</v>
      </c>
      <c r="C38" s="61">
        <f>(SUMIFS('MAIN DATA, Orders'!$M:$M,'MAIN DATA, Orders'!$C:$C,"Germany",'MAIN DATA, Orders'!$N:$N,"Einzelplan 14",'MAIN DATA, Orders'!$G:$G,"Aircraft",'MAIN DATA, Orders'!$Q:$Q,$A38)/1000000000)</f>
        <v>0</v>
      </c>
      <c r="D38" s="61">
        <f>(SUMIFS('MAIN DATA, Orders'!$M:$M,'MAIN DATA, Orders'!$C:$C,"Germany",'MAIN DATA, Orders'!$N:$N,"Sondervermögen",'MAIN DATA, Orders'!$G:$G,"Aircraft",'MAIN DATA, Orders'!$Q:$Q,$A38)/1000000000)</f>
        <v>0</v>
      </c>
      <c r="E38" s="61">
        <f>(SUMIFS('MAIN DATA, Orders'!$M:$M,'MAIN DATA, Orders'!$C:$C,"Germany",'MAIN DATA, Orders'!$N:$N,"Einzelplan 60",'MAIN DATA, Orders'!$G:$G,"Aircraft",'MAIN DATA, Orders'!$Q:$Q,$A38)/1000000000)</f>
        <v>0</v>
      </c>
    </row>
    <row r="39" spans="1:5">
      <c r="A39" s="72">
        <v>33</v>
      </c>
      <c r="B39" s="68">
        <v>44805</v>
      </c>
      <c r="C39" s="61">
        <f>(SUMIFS('MAIN DATA, Orders'!$M:$M,'MAIN DATA, Orders'!$C:$C,"Germany",'MAIN DATA, Orders'!$N:$N,"Einzelplan 14",'MAIN DATA, Orders'!$G:$G,"Aircraft",'MAIN DATA, Orders'!$Q:$Q,$A39)/1000000000)</f>
        <v>0</v>
      </c>
      <c r="D39" s="61">
        <f>(SUMIFS('MAIN DATA, Orders'!$M:$M,'MAIN DATA, Orders'!$C:$C,"Germany",'MAIN DATA, Orders'!$N:$N,"Sondervermögen",'MAIN DATA, Orders'!$G:$G,"Aircraft",'MAIN DATA, Orders'!$Q:$Q,$A39)/1000000000)</f>
        <v>0</v>
      </c>
      <c r="E39" s="61">
        <f>(SUMIFS('MAIN DATA, Orders'!$M:$M,'MAIN DATA, Orders'!$C:$C,"Germany",'MAIN DATA, Orders'!$N:$N,"Einzelplan 60",'MAIN DATA, Orders'!$G:$G,"Aircraft",'MAIN DATA, Orders'!$Q:$Q,$A39)/1000000000)</f>
        <v>0</v>
      </c>
    </row>
    <row r="40" spans="1:5">
      <c r="A40" s="72">
        <v>34</v>
      </c>
      <c r="B40" s="68">
        <v>44835</v>
      </c>
      <c r="C40" s="61">
        <f>(SUMIFS('MAIN DATA, Orders'!$M:$M,'MAIN DATA, Orders'!$C:$C,"Germany",'MAIN DATA, Orders'!$N:$N,"Einzelplan 14",'MAIN DATA, Orders'!$G:$G,"Aircraft",'MAIN DATA, Orders'!$Q:$Q,$A40)/1000000000)</f>
        <v>0</v>
      </c>
      <c r="D40" s="61">
        <f>(SUMIFS('MAIN DATA, Orders'!$M:$M,'MAIN DATA, Orders'!$C:$C,"Germany",'MAIN DATA, Orders'!$N:$N,"Sondervermögen",'MAIN DATA, Orders'!$G:$G,"Aircraft",'MAIN DATA, Orders'!$Q:$Q,$A40)/1000000000)</f>
        <v>0</v>
      </c>
      <c r="E40" s="61">
        <f>(SUMIFS('MAIN DATA, Orders'!$M:$M,'MAIN DATA, Orders'!$C:$C,"Germany",'MAIN DATA, Orders'!$N:$N,"Einzelplan 60",'MAIN DATA, Orders'!$G:$G,"Aircraft",'MAIN DATA, Orders'!$Q:$Q,$A40)/1000000000)</f>
        <v>0</v>
      </c>
    </row>
    <row r="41" spans="1:5">
      <c r="A41" s="72">
        <v>35</v>
      </c>
      <c r="B41" s="68">
        <v>44866</v>
      </c>
      <c r="C41" s="61">
        <f>(SUMIFS('MAIN DATA, Orders'!$M:$M,'MAIN DATA, Orders'!$C:$C,"Germany",'MAIN DATA, Orders'!$N:$N,"Einzelplan 14",'MAIN DATA, Orders'!$G:$G,"Aircraft",'MAIN DATA, Orders'!$Q:$Q,$A41)/1000000000)</f>
        <v>0</v>
      </c>
      <c r="D41" s="61">
        <f>(SUMIFS('MAIN DATA, Orders'!$M:$M,'MAIN DATA, Orders'!$C:$C,"Germany",'MAIN DATA, Orders'!$N:$N,"Sondervermögen",'MAIN DATA, Orders'!$G:$G,"Aircraft",'MAIN DATA, Orders'!$Q:$Q,$A41)/1000000000)</f>
        <v>0</v>
      </c>
      <c r="E41" s="61">
        <f>(SUMIFS('MAIN DATA, Orders'!$M:$M,'MAIN DATA, Orders'!$C:$C,"Germany",'MAIN DATA, Orders'!$N:$N,"Einzelplan 60",'MAIN DATA, Orders'!$G:$G,"Aircraft",'MAIN DATA, Orders'!$Q:$Q,$A41)/1000000000)</f>
        <v>0</v>
      </c>
    </row>
    <row r="42" spans="1:5">
      <c r="A42" s="72">
        <v>36</v>
      </c>
      <c r="B42" s="68">
        <v>44896</v>
      </c>
      <c r="C42" s="61">
        <f>(SUMIFS('MAIN DATA, Orders'!$M:$M,'MAIN DATA, Orders'!$C:$C,"Germany",'MAIN DATA, Orders'!$N:$N,"Einzelplan 14",'MAIN DATA, Orders'!$G:$G,"Aircraft",'MAIN DATA, Orders'!$Q:$Q,$A42)/1000000000)</f>
        <v>0</v>
      </c>
      <c r="D42" s="61">
        <f>(SUMIFS('MAIN DATA, Orders'!$M:$M,'MAIN DATA, Orders'!$C:$C,"Germany",'MAIN DATA, Orders'!$N:$N,"Sondervermögen",'MAIN DATA, Orders'!$G:$G,"Aircraft",'MAIN DATA, Orders'!$Q:$Q,$A42)/1000000000)</f>
        <v>8.3000000000000007</v>
      </c>
      <c r="E42" s="61">
        <f>(SUMIFS('MAIN DATA, Orders'!$M:$M,'MAIN DATA, Orders'!$C:$C,"Germany",'MAIN DATA, Orders'!$N:$N,"Einzelplan 60",'MAIN DATA, Orders'!$G:$G,"Aircraft",'MAIN DATA, Orders'!$Q:$Q,$A42)/1000000000)</f>
        <v>0</v>
      </c>
    </row>
    <row r="43" spans="1:5">
      <c r="A43" s="72">
        <v>37</v>
      </c>
      <c r="B43" s="68">
        <v>44927</v>
      </c>
      <c r="C43" s="61">
        <f>(SUMIFS('MAIN DATA, Orders'!$M:$M,'MAIN DATA, Orders'!$C:$C,"Germany",'MAIN DATA, Orders'!$N:$N,"Einzelplan 14",'MAIN DATA, Orders'!$G:$G,"Aircraft",'MAIN DATA, Orders'!$Q:$Q,$A43)/1000000000)</f>
        <v>0</v>
      </c>
      <c r="D43" s="61">
        <f>(SUMIFS('MAIN DATA, Orders'!$M:$M,'MAIN DATA, Orders'!$C:$C,"Germany",'MAIN DATA, Orders'!$N:$N,"Sondervermögen",'MAIN DATA, Orders'!$G:$G,"Aircraft",'MAIN DATA, Orders'!$Q:$Q,$A43)/1000000000)</f>
        <v>0</v>
      </c>
      <c r="E43" s="61">
        <f>(SUMIFS('MAIN DATA, Orders'!$M:$M,'MAIN DATA, Orders'!$C:$C,"Germany",'MAIN DATA, Orders'!$N:$N,"Einzelplan 60",'MAIN DATA, Orders'!$G:$G,"Aircraft",'MAIN DATA, Orders'!$Q:$Q,$A43)/1000000000)</f>
        <v>0</v>
      </c>
    </row>
    <row r="44" spans="1:5">
      <c r="A44" s="72">
        <v>38</v>
      </c>
      <c r="B44" s="68">
        <v>44958</v>
      </c>
      <c r="C44" s="61">
        <f>(SUMIFS('MAIN DATA, Orders'!$M:$M,'MAIN DATA, Orders'!$C:$C,"Germany",'MAIN DATA, Orders'!$N:$N,"Einzelplan 14",'MAIN DATA, Orders'!$G:$G,"Aircraft",'MAIN DATA, Orders'!$Q:$Q,$A44)/1000000000)</f>
        <v>0</v>
      </c>
      <c r="D44" s="61">
        <f>(SUMIFS('MAIN DATA, Orders'!$M:$M,'MAIN DATA, Orders'!$C:$C,"Germany",'MAIN DATA, Orders'!$N:$N,"Sondervermögen",'MAIN DATA, Orders'!$G:$G,"Aircraft",'MAIN DATA, Orders'!$Q:$Q,$A44)/1000000000)</f>
        <v>0</v>
      </c>
      <c r="E44" s="61">
        <f>(SUMIFS('MAIN DATA, Orders'!$M:$M,'MAIN DATA, Orders'!$C:$C,"Germany",'MAIN DATA, Orders'!$N:$N,"Einzelplan 60",'MAIN DATA, Orders'!$G:$G,"Aircraft",'MAIN DATA, Orders'!$Q:$Q,$A44)/1000000000)</f>
        <v>0</v>
      </c>
    </row>
    <row r="45" spans="1:5">
      <c r="A45" s="72">
        <v>39</v>
      </c>
      <c r="B45" s="68">
        <v>44986</v>
      </c>
      <c r="C45" s="61">
        <f>(SUMIFS('MAIN DATA, Orders'!$M:$M,'MAIN DATA, Orders'!$C:$C,"Germany",'MAIN DATA, Orders'!$N:$N,"Einzelplan 14",'MAIN DATA, Orders'!$G:$G,"Aircraft",'MAIN DATA, Orders'!$Q:$Q,$A45)/1000000000)</f>
        <v>0</v>
      </c>
      <c r="D45" s="61">
        <f>(SUMIFS('MAIN DATA, Orders'!$M:$M,'MAIN DATA, Orders'!$C:$C,"Germany",'MAIN DATA, Orders'!$N:$N,"Sondervermögen",'MAIN DATA, Orders'!$G:$G,"Aircraft",'MAIN DATA, Orders'!$Q:$Q,$A45)/1000000000)</f>
        <v>0</v>
      </c>
      <c r="E45" s="61">
        <f>(SUMIFS('MAIN DATA, Orders'!$M:$M,'MAIN DATA, Orders'!$C:$C,"Germany",'MAIN DATA, Orders'!$N:$N,"Einzelplan 60",'MAIN DATA, Orders'!$G:$G,"Aircraft",'MAIN DATA, Orders'!$Q:$Q,$A45)/1000000000)</f>
        <v>0</v>
      </c>
    </row>
    <row r="46" spans="1:5">
      <c r="A46" s="72">
        <v>40</v>
      </c>
      <c r="B46" s="68">
        <v>45017</v>
      </c>
      <c r="C46" s="61">
        <f>(SUMIFS('MAIN DATA, Orders'!$M:$M,'MAIN DATA, Orders'!$C:$C,"Germany",'MAIN DATA, Orders'!$N:$N,"Einzelplan 14",'MAIN DATA, Orders'!$G:$G,"Aircraft",'MAIN DATA, Orders'!$Q:$Q,$A46)/1000000000)</f>
        <v>0</v>
      </c>
      <c r="D46" s="61">
        <f>(SUMIFS('MAIN DATA, Orders'!$M:$M,'MAIN DATA, Orders'!$C:$C,"Germany",'MAIN DATA, Orders'!$N:$N,"Sondervermögen",'MAIN DATA, Orders'!$G:$G,"Aircraft",'MAIN DATA, Orders'!$Q:$Q,$A46)/1000000000)</f>
        <v>0</v>
      </c>
      <c r="E46" s="61">
        <f>(SUMIFS('MAIN DATA, Orders'!$M:$M,'MAIN DATA, Orders'!$C:$C,"Germany",'MAIN DATA, Orders'!$N:$N,"Einzelplan 60",'MAIN DATA, Orders'!$G:$G,"Aircraft",'MAIN DATA, Orders'!$Q:$Q,$A46)/1000000000)</f>
        <v>0</v>
      </c>
    </row>
    <row r="47" spans="1:5">
      <c r="A47" s="72">
        <v>41</v>
      </c>
      <c r="B47" s="68">
        <v>45047</v>
      </c>
      <c r="C47" s="61">
        <f>(SUMIFS('MAIN DATA, Orders'!$M:$M,'MAIN DATA, Orders'!$C:$C,"Germany",'MAIN DATA, Orders'!$N:$N,"Einzelplan 14",'MAIN DATA, Orders'!$G:$G,"Aircraft",'MAIN DATA, Orders'!$Q:$Q,$A47)/1000000000)</f>
        <v>0</v>
      </c>
      <c r="D47" s="61">
        <f>(SUMIFS('MAIN DATA, Orders'!$M:$M,'MAIN DATA, Orders'!$C:$C,"Germany",'MAIN DATA, Orders'!$N:$N,"Sondervermögen",'MAIN DATA, Orders'!$G:$G,"Aircraft",'MAIN DATA, Orders'!$Q:$Q,$A47)/1000000000)</f>
        <v>0</v>
      </c>
      <c r="E47" s="61">
        <f>(SUMIFS('MAIN DATA, Orders'!$M:$M,'MAIN DATA, Orders'!$C:$C,"Germany",'MAIN DATA, Orders'!$N:$N,"Einzelplan 60",'MAIN DATA, Orders'!$G:$G,"Aircraft",'MAIN DATA, Orders'!$Q:$Q,$A47)/1000000000)</f>
        <v>0</v>
      </c>
    </row>
    <row r="48" spans="1:5">
      <c r="A48" s="72">
        <v>42</v>
      </c>
      <c r="B48" s="68">
        <v>45078</v>
      </c>
      <c r="C48" s="61">
        <f>(SUMIFS('MAIN DATA, Orders'!$M:$M,'MAIN DATA, Orders'!$C:$C,"Germany",'MAIN DATA, Orders'!$N:$N,"Einzelplan 14",'MAIN DATA, Orders'!$G:$G,"Aircraft",'MAIN DATA, Orders'!$Q:$Q,$A48)/1000000000)</f>
        <v>0</v>
      </c>
      <c r="D48" s="61">
        <f>(SUMIFS('MAIN DATA, Orders'!$M:$M,'MAIN DATA, Orders'!$C:$C,"Germany",'MAIN DATA, Orders'!$N:$N,"Sondervermögen",'MAIN DATA, Orders'!$G:$G,"Aircraft",'MAIN DATA, Orders'!$Q:$Q,$A48)/1000000000)</f>
        <v>0</v>
      </c>
      <c r="E48" s="61">
        <f>(SUMIFS('MAIN DATA, Orders'!$M:$M,'MAIN DATA, Orders'!$C:$C,"Germany",'MAIN DATA, Orders'!$N:$N,"Einzelplan 60",'MAIN DATA, Orders'!$G:$G,"Aircraft",'MAIN DATA, Orders'!$Q:$Q,$A48)/1000000000)</f>
        <v>0</v>
      </c>
    </row>
    <row r="49" spans="1:5">
      <c r="A49" s="72">
        <v>43</v>
      </c>
      <c r="B49" s="68">
        <v>45108</v>
      </c>
      <c r="C49" s="61">
        <f>(SUMIFS('MAIN DATA, Orders'!$M:$M,'MAIN DATA, Orders'!$C:$C,"Germany",'MAIN DATA, Orders'!$N:$N,"Einzelplan 14",'MAIN DATA, Orders'!$G:$G,"Aircraft",'MAIN DATA, Orders'!$Q:$Q,$A49)/1000000000)</f>
        <v>0</v>
      </c>
      <c r="D49" s="61">
        <f>(SUMIFS('MAIN DATA, Orders'!$M:$M,'MAIN DATA, Orders'!$C:$C,"Germany",'MAIN DATA, Orders'!$N:$N,"Sondervermögen",'MAIN DATA, Orders'!$G:$G,"Aircraft",'MAIN DATA, Orders'!$Q:$Q,$A49)/1000000000)</f>
        <v>0</v>
      </c>
      <c r="E49" s="61">
        <f>(SUMIFS('MAIN DATA, Orders'!$M:$M,'MAIN DATA, Orders'!$C:$C,"Germany",'MAIN DATA, Orders'!$N:$N,"Einzelplan 60",'MAIN DATA, Orders'!$G:$G,"Aircraft",'MAIN DATA, Orders'!$Q:$Q,$A49)/1000000000)</f>
        <v>0</v>
      </c>
    </row>
    <row r="50" spans="1:5">
      <c r="A50" s="72">
        <v>44</v>
      </c>
      <c r="B50" s="68">
        <v>45139</v>
      </c>
      <c r="C50" s="61">
        <f>(SUMIFS('MAIN DATA, Orders'!$M:$M,'MAIN DATA, Orders'!$C:$C,"Germany",'MAIN DATA, Orders'!$N:$N,"Einzelplan 14",'MAIN DATA, Orders'!$G:$G,"Aircraft",'MAIN DATA, Orders'!$Q:$Q,$A50)/1000000000)</f>
        <v>0</v>
      </c>
      <c r="D50" s="61">
        <f>(SUMIFS('MAIN DATA, Orders'!$M:$M,'MAIN DATA, Orders'!$C:$C,"Germany",'MAIN DATA, Orders'!$N:$N,"Sondervermögen",'MAIN DATA, Orders'!$G:$G,"Aircraft",'MAIN DATA, Orders'!$Q:$Q,$A50)/1000000000)</f>
        <v>0</v>
      </c>
      <c r="E50" s="61">
        <f>(SUMIFS('MAIN DATA, Orders'!$M:$M,'MAIN DATA, Orders'!$C:$C,"Germany",'MAIN DATA, Orders'!$N:$N,"Einzelplan 60",'MAIN DATA, Orders'!$G:$G,"Aircraft",'MAIN DATA, Orders'!$Q:$Q,$A50)/1000000000)</f>
        <v>0</v>
      </c>
    </row>
    <row r="51" spans="1:5">
      <c r="A51" s="72">
        <v>45</v>
      </c>
      <c r="B51" s="68">
        <v>45170</v>
      </c>
      <c r="C51" s="61">
        <f>(SUMIFS('MAIN DATA, Orders'!$M:$M,'MAIN DATA, Orders'!$C:$C,"Germany",'MAIN DATA, Orders'!$N:$N,"Einzelplan 14",'MAIN DATA, Orders'!$G:$G,"Aircraft",'MAIN DATA, Orders'!$Q:$Q,$A51)/1000000000)</f>
        <v>0</v>
      </c>
      <c r="D51" s="61">
        <f>(SUMIFS('MAIN DATA, Orders'!$M:$M,'MAIN DATA, Orders'!$C:$C,"Germany",'MAIN DATA, Orders'!$N:$N,"Sondervermögen",'MAIN DATA, Orders'!$G:$G,"Aircraft",'MAIN DATA, Orders'!$Q:$Q,$A51)/1000000000)</f>
        <v>0</v>
      </c>
      <c r="E51" s="61">
        <f>(SUMIFS('MAIN DATA, Orders'!$M:$M,'MAIN DATA, Orders'!$C:$C,"Germany",'MAIN DATA, Orders'!$N:$N,"Einzelplan 60",'MAIN DATA, Orders'!$G:$G,"Aircraft",'MAIN DATA, Orders'!$Q:$Q,$A51)/1000000000)</f>
        <v>0</v>
      </c>
    </row>
    <row r="52" spans="1:5">
      <c r="A52" s="72">
        <v>46</v>
      </c>
      <c r="B52" s="68">
        <v>45200</v>
      </c>
      <c r="C52" s="61">
        <f>(SUMIFS('MAIN DATA, Orders'!$M:$M,'MAIN DATA, Orders'!$C:$C,"Germany",'MAIN DATA, Orders'!$N:$N,"Einzelplan 14",'MAIN DATA, Orders'!$G:$G,"Aircraft",'MAIN DATA, Orders'!$Q:$Q,$A52)/1000000000)</f>
        <v>0</v>
      </c>
      <c r="D52" s="61">
        <f>(SUMIFS('MAIN DATA, Orders'!$M:$M,'MAIN DATA, Orders'!$C:$C,"Germany",'MAIN DATA, Orders'!$N:$N,"Sondervermögen",'MAIN DATA, Orders'!$G:$G,"Aircraft",'MAIN DATA, Orders'!$Q:$Q,$A52)/1000000000)</f>
        <v>0</v>
      </c>
      <c r="E52" s="61">
        <f>(SUMIFS('MAIN DATA, Orders'!$M:$M,'MAIN DATA, Orders'!$C:$C,"Germany",'MAIN DATA, Orders'!$N:$N,"Einzelplan 60",'MAIN DATA, Orders'!$G:$G,"Aircraft",'MAIN DATA, Orders'!$Q:$Q,$A52)/1000000000)</f>
        <v>0</v>
      </c>
    </row>
    <row r="53" spans="1:5">
      <c r="A53" s="72">
        <v>47</v>
      </c>
      <c r="B53" s="68">
        <v>45231</v>
      </c>
      <c r="C53" s="61">
        <f>(SUMIFS('MAIN DATA, Orders'!$M:$M,'MAIN DATA, Orders'!$C:$C,"Germany",'MAIN DATA, Orders'!$N:$N,"Einzelplan 14",'MAIN DATA, Orders'!$G:$G,"Aircraft",'MAIN DATA, Orders'!$Q:$Q,$A53)/1000000000)</f>
        <v>4.9299999999999997E-2</v>
      </c>
      <c r="D53" s="61">
        <f>(SUMIFS('MAIN DATA, Orders'!$M:$M,'MAIN DATA, Orders'!$C:$C,"Germany",'MAIN DATA, Orders'!$N:$N,"Sondervermögen",'MAIN DATA, Orders'!$G:$G,"Aircraft",'MAIN DATA, Orders'!$Q:$Q,$A53)/1000000000)</f>
        <v>0</v>
      </c>
      <c r="E53" s="61">
        <f>(SUMIFS('MAIN DATA, Orders'!$M:$M,'MAIN DATA, Orders'!$C:$C,"Germany",'MAIN DATA, Orders'!$N:$N,"Einzelplan 60",'MAIN DATA, Orders'!$G:$G,"Aircraft",'MAIN DATA, Orders'!$Q:$Q,$A53)/1000000000)</f>
        <v>0</v>
      </c>
    </row>
    <row r="54" spans="1:5">
      <c r="A54" s="72">
        <v>48</v>
      </c>
      <c r="B54" s="68">
        <v>45261</v>
      </c>
      <c r="C54" s="61">
        <f>(SUMIFS('MAIN DATA, Orders'!$M:$M,'MAIN DATA, Orders'!$C:$C,"Germany",'MAIN DATA, Orders'!$N:$N,"Einzelplan 14",'MAIN DATA, Orders'!$G:$G,"Aircraft",'MAIN DATA, Orders'!$Q:$Q,$A54)/1000000000)</f>
        <v>0</v>
      </c>
      <c r="D54" s="61">
        <f>(SUMIFS('MAIN DATA, Orders'!$M:$M,'MAIN DATA, Orders'!$C:$C,"Germany",'MAIN DATA, Orders'!$N:$N,"Sondervermögen",'MAIN DATA, Orders'!$G:$G,"Aircraft",'MAIN DATA, Orders'!$Q:$Q,$A54)/1000000000)</f>
        <v>0</v>
      </c>
      <c r="E54" s="61">
        <f>(SUMIFS('MAIN DATA, Orders'!$M:$M,'MAIN DATA, Orders'!$C:$C,"Germany",'MAIN DATA, Orders'!$N:$N,"Einzelplan 60",'MAIN DATA, Orders'!$G:$G,"Aircraft",'MAIN DATA, Orders'!$Q:$Q,$A54)/1000000000)</f>
        <v>0</v>
      </c>
    </row>
    <row r="55" spans="1:5">
      <c r="A55" s="72">
        <v>49</v>
      </c>
      <c r="B55" s="68">
        <v>45292</v>
      </c>
      <c r="C55" s="61">
        <f>(SUMIFS('MAIN DATA, Orders'!$M:$M,'MAIN DATA, Orders'!$C:$C,"Germany",'MAIN DATA, Orders'!$N:$N,"Einzelplan 14",'MAIN DATA, Orders'!$G:$G,"Aircraft",'MAIN DATA, Orders'!$Q:$Q,$A55)/1000000000)</f>
        <v>0</v>
      </c>
      <c r="D55" s="61">
        <f>(SUMIFS('MAIN DATA, Orders'!$M:$M,'MAIN DATA, Orders'!$C:$C,"Germany",'MAIN DATA, Orders'!$N:$N,"Sondervermögen",'MAIN DATA, Orders'!$G:$G,"Aircraft",'MAIN DATA, Orders'!$Q:$Q,$A55)/1000000000)</f>
        <v>0</v>
      </c>
      <c r="E55" s="61">
        <f>(SUMIFS('MAIN DATA, Orders'!$M:$M,'MAIN DATA, Orders'!$C:$C,"Germany",'MAIN DATA, Orders'!$N:$N,"Einzelplan 60",'MAIN DATA, Orders'!$G:$G,"Aircraft",'MAIN DATA, Orders'!$Q:$Q,$A55)/1000000000)</f>
        <v>0</v>
      </c>
    </row>
    <row r="56" spans="1:5">
      <c r="A56" s="72">
        <v>50</v>
      </c>
      <c r="B56" s="68">
        <v>45323</v>
      </c>
      <c r="C56" s="61">
        <f>(SUMIFS('MAIN DATA, Orders'!$M:$M,'MAIN DATA, Orders'!$C:$C,"Germany",'MAIN DATA, Orders'!$N:$N,"Einzelplan 14",'MAIN DATA, Orders'!$G:$G,"Aircraft",'MAIN DATA, Orders'!$Q:$Q,$A56)/1000000000)</f>
        <v>0</v>
      </c>
      <c r="D56" s="61">
        <f>(SUMIFS('MAIN DATA, Orders'!$M:$M,'MAIN DATA, Orders'!$C:$C,"Germany",'MAIN DATA, Orders'!$N:$N,"Sondervermögen",'MAIN DATA, Orders'!$G:$G,"Aircraft",'MAIN DATA, Orders'!$Q:$Q,$A56)/1000000000)</f>
        <v>0</v>
      </c>
      <c r="E56" s="61">
        <f>(SUMIFS('MAIN DATA, Orders'!$M:$M,'MAIN DATA, Orders'!$C:$C,"Germany",'MAIN DATA, Orders'!$N:$N,"Einzelplan 60",'MAIN DATA, Orders'!$G:$G,"Aircraft",'MAIN DATA, Orders'!$Q:$Q,$A56)/1000000000)</f>
        <v>0</v>
      </c>
    </row>
    <row r="57" spans="1:5">
      <c r="A57" s="72">
        <v>51</v>
      </c>
      <c r="B57" s="68">
        <v>45352</v>
      </c>
      <c r="C57" s="61">
        <f>(SUMIFS('MAIN DATA, Orders'!$M:$M,'MAIN DATA, Orders'!$C:$C,"Germany",'MAIN DATA, Orders'!$N:$N,"Einzelplan 14",'MAIN DATA, Orders'!$G:$G,"Aircraft",'MAIN DATA, Orders'!$Q:$Q,$A57)/1000000000)</f>
        <v>0</v>
      </c>
      <c r="D57" s="61">
        <f>(SUMIFS('MAIN DATA, Orders'!$M:$M,'MAIN DATA, Orders'!$C:$C,"Germany",'MAIN DATA, Orders'!$N:$N,"Sondervermögen",'MAIN DATA, Orders'!$G:$G,"Aircraft",'MAIN DATA, Orders'!$Q:$Q,$A57)/1000000000)</f>
        <v>0</v>
      </c>
      <c r="E57" s="61">
        <f>(SUMIFS('MAIN DATA, Orders'!$M:$M,'MAIN DATA, Orders'!$C:$C,"Germany",'MAIN DATA, Orders'!$N:$N,"Einzelplan 60",'MAIN DATA, Orders'!$G:$G,"Aircraft",'MAIN DATA, Orders'!$Q:$Q,$A57)/1000000000)</f>
        <v>0</v>
      </c>
    </row>
    <row r="58" spans="1:5">
      <c r="A58" s="72">
        <v>52</v>
      </c>
      <c r="B58" s="68">
        <v>45383</v>
      </c>
      <c r="C58" s="61">
        <f>(SUMIFS('MAIN DATA, Orders'!$M:$M,'MAIN DATA, Orders'!$C:$C,"Germany",'MAIN DATA, Orders'!$N:$N,"Einzelplan 14",'MAIN DATA, Orders'!$G:$G,"Aircraft",'MAIN DATA, Orders'!$Q:$Q,$A58)/1000000000)</f>
        <v>0</v>
      </c>
      <c r="D58" s="61">
        <f>(SUMIFS('MAIN DATA, Orders'!$M:$M,'MAIN DATA, Orders'!$C:$C,"Germany",'MAIN DATA, Orders'!$N:$N,"Sondervermögen",'MAIN DATA, Orders'!$G:$G,"Aircraft",'MAIN DATA, Orders'!$Q:$Q,$A58)/1000000000)</f>
        <v>4.2999999999999997E-2</v>
      </c>
      <c r="E58" s="61">
        <f>(SUMIFS('MAIN DATA, Orders'!$M:$M,'MAIN DATA, Orders'!$C:$C,"Germany",'MAIN DATA, Orders'!$N:$N,"Einzelplan 60",'MAIN DATA, Orders'!$G:$G,"Aircraft",'MAIN DATA, Orders'!$Q:$Q,$A58)/1000000000)</f>
        <v>0</v>
      </c>
    </row>
    <row r="59" spans="1:5">
      <c r="A59" s="72">
        <v>53</v>
      </c>
      <c r="B59" s="68">
        <v>45413</v>
      </c>
      <c r="C59" s="61">
        <f>(SUMIFS('MAIN DATA, Orders'!$M:$M,'MAIN DATA, Orders'!$C:$C,"Germany",'MAIN DATA, Orders'!$N:$N,"Einzelplan 14",'MAIN DATA, Orders'!$G:$G,"Aircraft",'MAIN DATA, Orders'!$Q:$Q,$A59)/1000000000)</f>
        <v>0</v>
      </c>
      <c r="D59" s="61">
        <f>(SUMIFS('MAIN DATA, Orders'!$M:$M,'MAIN DATA, Orders'!$C:$C,"Germany",'MAIN DATA, Orders'!$N:$N,"Sondervermögen",'MAIN DATA, Orders'!$G:$G,"Aircraft",'MAIN DATA, Orders'!$Q:$Q,$A59)/1000000000)</f>
        <v>0</v>
      </c>
      <c r="E59" s="61">
        <f>(SUMIFS('MAIN DATA, Orders'!$M:$M,'MAIN DATA, Orders'!$C:$C,"Germany",'MAIN DATA, Orders'!$N:$N,"Einzelplan 60",'MAIN DATA, Orders'!$G:$G,"Aircraft",'MAIN DATA, Orders'!$Q:$Q,$A59)/1000000000)</f>
        <v>0</v>
      </c>
    </row>
    <row r="60" spans="1:5">
      <c r="A60" s="72">
        <v>54</v>
      </c>
      <c r="B60" s="68">
        <v>45444</v>
      </c>
      <c r="C60" s="61">
        <f>(SUMIFS('MAIN DATA, Orders'!$M:$M,'MAIN DATA, Orders'!$C:$C,"Germany",'MAIN DATA, Orders'!$N:$N,"Einzelplan 14",'MAIN DATA, Orders'!$G:$G,"Aircraft",'MAIN DATA, Orders'!$Q:$Q,$A60)/1000000000)</f>
        <v>0</v>
      </c>
      <c r="D60" s="61">
        <f>(SUMIFS('MAIN DATA, Orders'!$M:$M,'MAIN DATA, Orders'!$C:$C,"Germany",'MAIN DATA, Orders'!$N:$N,"Sondervermögen",'MAIN DATA, Orders'!$G:$G,"Aircraft",'MAIN DATA, Orders'!$Q:$Q,$A60)/1000000000)</f>
        <v>6.6000000000000003E-2</v>
      </c>
      <c r="E60" s="61">
        <f>(SUMIFS('MAIN DATA, Orders'!$M:$M,'MAIN DATA, Orders'!$C:$C,"Germany",'MAIN DATA, Orders'!$N:$N,"Einzelplan 60",'MAIN DATA, Orders'!$G:$G,"Aircraft",'MAIN DATA, Orders'!$Q:$Q,$A60)/1000000000)</f>
        <v>0</v>
      </c>
    </row>
    <row r="61" spans="1:5">
      <c r="A61" s="72">
        <v>55</v>
      </c>
      <c r="B61" s="155">
        <v>45474</v>
      </c>
      <c r="C61" s="159">
        <f>(SUMIFS('MAIN DATA, Orders'!$M:$M,'MAIN DATA, Orders'!$C:$C,"Germany",'MAIN DATA, Orders'!$N:$N,"Einzelplan 14",'MAIN DATA, Orders'!$G:$G,"Aircraft",'MAIN DATA, Orders'!$Q:$Q,$A61)/1000000000)</f>
        <v>0</v>
      </c>
      <c r="D61" s="159">
        <f>(SUMIFS('MAIN DATA, Orders'!$M:$M,'MAIN DATA, Orders'!$C:$C,"Germany",'MAIN DATA, Orders'!$N:$N,"Sondervermögen",'MAIN DATA, Orders'!$G:$G,"Aircraft",'MAIN DATA, Orders'!$Q:$Q,$A61)/1000000000)</f>
        <v>0</v>
      </c>
      <c r="E61" s="159">
        <f>(SUMIFS('MAIN DATA, Orders'!$M:$M,'MAIN DATA, Orders'!$C:$C,"Germany",'MAIN DATA, Orders'!$N:$N,"Einzelplan 60",'MAIN DATA, Orders'!$G:$G,"Aircraft",'MAIN DATA, Orders'!$Q:$Q,$A61)/1000000000)</f>
        <v>0</v>
      </c>
    </row>
    <row r="62" spans="1:5">
      <c r="A62" s="199"/>
      <c r="B62" s="199"/>
      <c r="C62" s="199"/>
      <c r="D62" s="199"/>
      <c r="E62" s="199"/>
    </row>
    <row r="63" spans="1:5">
      <c r="A63" s="199"/>
      <c r="B63" s="69" t="s">
        <v>1431</v>
      </c>
      <c r="C63" s="69">
        <f>SUM(C7:C61)</f>
        <v>10.480300000000002</v>
      </c>
      <c r="D63" s="69">
        <f>SUM(D7:D61)</f>
        <v>8.4090000000000007</v>
      </c>
      <c r="E63" s="69">
        <f>SUM(E7:E61)</f>
        <v>0</v>
      </c>
    </row>
  </sheetData>
  <mergeCells count="1">
    <mergeCell ref="B4:F4"/>
  </mergeCells>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4D8B1-4FD2-4FE3-9648-3F3C1C325B7B}">
  <sheetPr>
    <tabColor theme="9" tint="0.59999389629810485"/>
  </sheetPr>
  <dimension ref="A2:F63"/>
  <sheetViews>
    <sheetView workbookViewId="0"/>
  </sheetViews>
  <sheetFormatPr defaultColWidth="8.69921875" defaultRowHeight="15.6"/>
  <cols>
    <col min="1" max="1" width="8.69921875" style="1"/>
    <col min="2" max="2" width="13.5" style="1" customWidth="1"/>
    <col min="3" max="3" width="20.69921875" style="1" bestFit="1" customWidth="1"/>
    <col min="4" max="4" width="23.69921875" style="1" bestFit="1" customWidth="1"/>
    <col min="5" max="5" width="20.69921875" style="1" bestFit="1" customWidth="1"/>
    <col min="6" max="16384" width="8.69921875" style="1"/>
  </cols>
  <sheetData>
    <row r="2" spans="1:6" ht="25.2">
      <c r="B2" s="67" t="s">
        <v>1685</v>
      </c>
    </row>
    <row r="4" spans="1:6" ht="130.19999999999999" customHeight="1">
      <c r="B4" s="207" t="s">
        <v>1686</v>
      </c>
      <c r="C4" s="207"/>
      <c r="D4" s="207"/>
      <c r="E4" s="207"/>
      <c r="F4" s="207"/>
    </row>
    <row r="6" spans="1:6" ht="21" customHeight="1">
      <c r="A6" s="199"/>
      <c r="B6" s="161" t="s">
        <v>1404</v>
      </c>
      <c r="C6" s="162" t="s">
        <v>165</v>
      </c>
      <c r="D6" s="162" t="s">
        <v>665</v>
      </c>
      <c r="E6" s="162" t="s">
        <v>784</v>
      </c>
    </row>
    <row r="7" spans="1:6">
      <c r="A7" s="72">
        <v>1</v>
      </c>
      <c r="B7" s="68">
        <v>43831</v>
      </c>
      <c r="C7" s="17">
        <f>(SUMIFS('MAIN DATA, Orders'!$I:$I,'MAIN DATA, Orders'!$C:$C,"Germany",'MAIN DATA, Orders'!$N:$N,"Einzelplan 14",'MAIN DATA, Orders'!$F:$F,"Fighter aircraft",'MAIN DATA, Orders'!$Q:$Q,$A7))</f>
        <v>0</v>
      </c>
      <c r="D7" s="17">
        <f>(SUMIFS('MAIN DATA, Orders'!$I:$I,'MAIN DATA, Orders'!$C:$C,"Germany",'MAIN DATA, Orders'!$N:$N,"Sondervermögen",'MAIN DATA, Orders'!$F:$F,"Fighter aircraft",'MAIN DATA, Orders'!$Q:$Q,$A7))</f>
        <v>0</v>
      </c>
      <c r="E7" s="17">
        <f>(SUMIFS('MAIN DATA, Orders'!$I:$I,'MAIN DATA, Orders'!$C:$C,"Germany",'MAIN DATA, Orders'!$N:$N,"Einzelplan 60",'MAIN DATA, Orders'!$F:$F,"Fighter aircraft",'MAIN DATA, Orders'!$Q:$Q,$A7))</f>
        <v>0</v>
      </c>
    </row>
    <row r="8" spans="1:6">
      <c r="A8" s="72">
        <v>2</v>
      </c>
      <c r="B8" s="68">
        <v>43862</v>
      </c>
      <c r="C8" s="17">
        <f>(SUMIFS('MAIN DATA, Orders'!$I:$I,'MAIN DATA, Orders'!$C:$C,"Germany",'MAIN DATA, Orders'!$N:$N,"Einzelplan 14",'MAIN DATA, Orders'!$F:$F,"Fighter aircraft",'MAIN DATA, Orders'!$Q:$Q,$A8))</f>
        <v>0</v>
      </c>
      <c r="D8" s="17">
        <f>(SUMIFS('MAIN DATA, Orders'!$I:$I,'MAIN DATA, Orders'!$C:$C,"Germany",'MAIN DATA, Orders'!$N:$N,"Sondervermögen",'MAIN DATA, Orders'!$F:$F,"Fighter aircraft",'MAIN DATA, Orders'!$Q:$Q,$A8))</f>
        <v>0</v>
      </c>
      <c r="E8" s="17">
        <f>(SUMIFS('MAIN DATA, Orders'!$I:$I,'MAIN DATA, Orders'!$C:$C,"Germany",'MAIN DATA, Orders'!$N:$N,"Einzelplan 60",'MAIN DATA, Orders'!$F:$F,"Fighter aircraft",'MAIN DATA, Orders'!$Q:$Q,$A8))</f>
        <v>0</v>
      </c>
    </row>
    <row r="9" spans="1:6">
      <c r="A9" s="72">
        <v>3</v>
      </c>
      <c r="B9" s="68">
        <v>43891</v>
      </c>
      <c r="C9" s="17">
        <f>(SUMIFS('MAIN DATA, Orders'!$I:$I,'MAIN DATA, Orders'!$C:$C,"Germany",'MAIN DATA, Orders'!$N:$N,"Einzelplan 14",'MAIN DATA, Orders'!$F:$F,"Fighter aircraft",'MAIN DATA, Orders'!$Q:$Q,$A9))</f>
        <v>0</v>
      </c>
      <c r="D9" s="17">
        <f>(SUMIFS('MAIN DATA, Orders'!$I:$I,'MAIN DATA, Orders'!$C:$C,"Germany",'MAIN DATA, Orders'!$N:$N,"Sondervermögen",'MAIN DATA, Orders'!$F:$F,"Fighter aircraft",'MAIN DATA, Orders'!$Q:$Q,$A9))</f>
        <v>0</v>
      </c>
      <c r="E9" s="17">
        <f>(SUMIFS('MAIN DATA, Orders'!$I:$I,'MAIN DATA, Orders'!$C:$C,"Germany",'MAIN DATA, Orders'!$N:$N,"Einzelplan 60",'MAIN DATA, Orders'!$F:$F,"Fighter aircraft",'MAIN DATA, Orders'!$Q:$Q,$A9))</f>
        <v>0</v>
      </c>
    </row>
    <row r="10" spans="1:6">
      <c r="A10" s="72">
        <v>4</v>
      </c>
      <c r="B10" s="68">
        <v>43922</v>
      </c>
      <c r="C10" s="17">
        <f>(SUMIFS('MAIN DATA, Orders'!$I:$I,'MAIN DATA, Orders'!$C:$C,"Germany",'MAIN DATA, Orders'!$N:$N,"Einzelplan 14",'MAIN DATA, Orders'!$F:$F,"Fighter aircraft",'MAIN DATA, Orders'!$Q:$Q,$A10))</f>
        <v>0</v>
      </c>
      <c r="D10" s="17">
        <f>(SUMIFS('MAIN DATA, Orders'!$I:$I,'MAIN DATA, Orders'!$C:$C,"Germany",'MAIN DATA, Orders'!$N:$N,"Sondervermögen",'MAIN DATA, Orders'!$F:$F,"Fighter aircraft",'MAIN DATA, Orders'!$Q:$Q,$A10))</f>
        <v>0</v>
      </c>
      <c r="E10" s="17">
        <f>(SUMIFS('MAIN DATA, Orders'!$I:$I,'MAIN DATA, Orders'!$C:$C,"Germany",'MAIN DATA, Orders'!$N:$N,"Einzelplan 60",'MAIN DATA, Orders'!$F:$F,"Fighter aircraft",'MAIN DATA, Orders'!$Q:$Q,$A10))</f>
        <v>0</v>
      </c>
    </row>
    <row r="11" spans="1:6">
      <c r="A11" s="72">
        <v>5</v>
      </c>
      <c r="B11" s="68">
        <v>43952</v>
      </c>
      <c r="C11" s="17">
        <f>(SUMIFS('MAIN DATA, Orders'!$I:$I,'MAIN DATA, Orders'!$C:$C,"Germany",'MAIN DATA, Orders'!$N:$N,"Einzelplan 14",'MAIN DATA, Orders'!$F:$F,"Fighter aircraft",'MAIN DATA, Orders'!$Q:$Q,$A11))</f>
        <v>0</v>
      </c>
      <c r="D11" s="17">
        <f>(SUMIFS('MAIN DATA, Orders'!$I:$I,'MAIN DATA, Orders'!$C:$C,"Germany",'MAIN DATA, Orders'!$N:$N,"Sondervermögen",'MAIN DATA, Orders'!$F:$F,"Fighter aircraft",'MAIN DATA, Orders'!$Q:$Q,$A11))</f>
        <v>0</v>
      </c>
      <c r="E11" s="17">
        <f>(SUMIFS('MAIN DATA, Orders'!$I:$I,'MAIN DATA, Orders'!$C:$C,"Germany",'MAIN DATA, Orders'!$N:$N,"Einzelplan 60",'MAIN DATA, Orders'!$F:$F,"Fighter aircraft",'MAIN DATA, Orders'!$Q:$Q,$A11))</f>
        <v>0</v>
      </c>
    </row>
    <row r="12" spans="1:6">
      <c r="A12" s="72">
        <v>6</v>
      </c>
      <c r="B12" s="68">
        <v>43983</v>
      </c>
      <c r="C12" s="17">
        <f>(SUMIFS('MAIN DATA, Orders'!$I:$I,'MAIN DATA, Orders'!$C:$C,"Germany",'MAIN DATA, Orders'!$N:$N,"Einzelplan 14",'MAIN DATA, Orders'!$F:$F,"Fighter aircraft",'MAIN DATA, Orders'!$Q:$Q,$A12))</f>
        <v>0</v>
      </c>
      <c r="D12" s="17">
        <f>(SUMIFS('MAIN DATA, Orders'!$I:$I,'MAIN DATA, Orders'!$C:$C,"Germany",'MAIN DATA, Orders'!$N:$N,"Sondervermögen",'MAIN DATA, Orders'!$F:$F,"Fighter aircraft",'MAIN DATA, Orders'!$Q:$Q,$A12))</f>
        <v>0</v>
      </c>
      <c r="E12" s="17">
        <f>(SUMIFS('MAIN DATA, Orders'!$I:$I,'MAIN DATA, Orders'!$C:$C,"Germany",'MAIN DATA, Orders'!$N:$N,"Einzelplan 60",'MAIN DATA, Orders'!$F:$F,"Fighter aircraft",'MAIN DATA, Orders'!$Q:$Q,$A12))</f>
        <v>0</v>
      </c>
    </row>
    <row r="13" spans="1:6">
      <c r="A13" s="72">
        <v>7</v>
      </c>
      <c r="B13" s="68">
        <v>44013</v>
      </c>
      <c r="C13" s="17">
        <f>(SUMIFS('MAIN DATA, Orders'!$I:$I,'MAIN DATA, Orders'!$C:$C,"Germany",'MAIN DATA, Orders'!$N:$N,"Einzelplan 14",'MAIN DATA, Orders'!$F:$F,"Fighter aircraft",'MAIN DATA, Orders'!$Q:$Q,$A13))</f>
        <v>0</v>
      </c>
      <c r="D13" s="17">
        <f>(SUMIFS('MAIN DATA, Orders'!$I:$I,'MAIN DATA, Orders'!$C:$C,"Germany",'MAIN DATA, Orders'!$N:$N,"Sondervermögen",'MAIN DATA, Orders'!$F:$F,"Fighter aircraft",'MAIN DATA, Orders'!$Q:$Q,$A13))</f>
        <v>0</v>
      </c>
      <c r="E13" s="17">
        <f>(SUMIFS('MAIN DATA, Orders'!$I:$I,'MAIN DATA, Orders'!$C:$C,"Germany",'MAIN DATA, Orders'!$N:$N,"Einzelplan 60",'MAIN DATA, Orders'!$F:$F,"Fighter aircraft",'MAIN DATA, Orders'!$Q:$Q,$A13))</f>
        <v>0</v>
      </c>
    </row>
    <row r="14" spans="1:6">
      <c r="A14" s="72">
        <v>8</v>
      </c>
      <c r="B14" s="68">
        <v>44044</v>
      </c>
      <c r="C14" s="17">
        <f>(SUMIFS('MAIN DATA, Orders'!$I:$I,'MAIN DATA, Orders'!$C:$C,"Germany",'MAIN DATA, Orders'!$N:$N,"Einzelplan 14",'MAIN DATA, Orders'!$F:$F,"Fighter aircraft",'MAIN DATA, Orders'!$Q:$Q,$A14))</f>
        <v>0</v>
      </c>
      <c r="D14" s="17">
        <f>(SUMIFS('MAIN DATA, Orders'!$I:$I,'MAIN DATA, Orders'!$C:$C,"Germany",'MAIN DATA, Orders'!$N:$N,"Sondervermögen",'MAIN DATA, Orders'!$F:$F,"Fighter aircraft",'MAIN DATA, Orders'!$Q:$Q,$A14))</f>
        <v>0</v>
      </c>
      <c r="E14" s="17">
        <f>(SUMIFS('MAIN DATA, Orders'!$I:$I,'MAIN DATA, Orders'!$C:$C,"Germany",'MAIN DATA, Orders'!$N:$N,"Einzelplan 60",'MAIN DATA, Orders'!$F:$F,"Fighter aircraft",'MAIN DATA, Orders'!$Q:$Q,$A14))</f>
        <v>0</v>
      </c>
    </row>
    <row r="15" spans="1:6">
      <c r="A15" s="72">
        <v>9</v>
      </c>
      <c r="B15" s="68">
        <v>44075</v>
      </c>
      <c r="C15" s="17">
        <f>(SUMIFS('MAIN DATA, Orders'!$I:$I,'MAIN DATA, Orders'!$C:$C,"Germany",'MAIN DATA, Orders'!$N:$N,"Einzelplan 14",'MAIN DATA, Orders'!$F:$F,"Fighter aircraft",'MAIN DATA, Orders'!$Q:$Q,$A15))</f>
        <v>0</v>
      </c>
      <c r="D15" s="17">
        <f>(SUMIFS('MAIN DATA, Orders'!$I:$I,'MAIN DATA, Orders'!$C:$C,"Germany",'MAIN DATA, Orders'!$N:$N,"Sondervermögen",'MAIN DATA, Orders'!$F:$F,"Fighter aircraft",'MAIN DATA, Orders'!$Q:$Q,$A15))</f>
        <v>0</v>
      </c>
      <c r="E15" s="17">
        <f>(SUMIFS('MAIN DATA, Orders'!$I:$I,'MAIN DATA, Orders'!$C:$C,"Germany",'MAIN DATA, Orders'!$N:$N,"Einzelplan 60",'MAIN DATA, Orders'!$F:$F,"Fighter aircraft",'MAIN DATA, Orders'!$Q:$Q,$A15))</f>
        <v>0</v>
      </c>
    </row>
    <row r="16" spans="1:6">
      <c r="A16" s="72">
        <v>10</v>
      </c>
      <c r="B16" s="68">
        <v>44105</v>
      </c>
      <c r="C16" s="17">
        <f>(SUMIFS('MAIN DATA, Orders'!$I:$I,'MAIN DATA, Orders'!$C:$C,"Germany",'MAIN DATA, Orders'!$N:$N,"Einzelplan 14",'MAIN DATA, Orders'!$F:$F,"Fighter aircraft",'MAIN DATA, Orders'!$Q:$Q,$A16))</f>
        <v>0</v>
      </c>
      <c r="D16" s="17">
        <f>(SUMIFS('MAIN DATA, Orders'!$I:$I,'MAIN DATA, Orders'!$C:$C,"Germany",'MAIN DATA, Orders'!$N:$N,"Sondervermögen",'MAIN DATA, Orders'!$F:$F,"Fighter aircraft",'MAIN DATA, Orders'!$Q:$Q,$A16))</f>
        <v>0</v>
      </c>
      <c r="E16" s="17">
        <f>(SUMIFS('MAIN DATA, Orders'!$I:$I,'MAIN DATA, Orders'!$C:$C,"Germany",'MAIN DATA, Orders'!$N:$N,"Einzelplan 60",'MAIN DATA, Orders'!$F:$F,"Fighter aircraft",'MAIN DATA, Orders'!$Q:$Q,$A16))</f>
        <v>0</v>
      </c>
    </row>
    <row r="17" spans="1:5">
      <c r="A17" s="72">
        <v>11</v>
      </c>
      <c r="B17" s="68">
        <v>44136</v>
      </c>
      <c r="C17" s="17">
        <f>(SUMIFS('MAIN DATA, Orders'!$I:$I,'MAIN DATA, Orders'!$C:$C,"Germany",'MAIN DATA, Orders'!$N:$N,"Einzelplan 14",'MAIN DATA, Orders'!$F:$F,"Fighter aircraft",'MAIN DATA, Orders'!$Q:$Q,$A17))</f>
        <v>38</v>
      </c>
      <c r="D17" s="17">
        <f>(SUMIFS('MAIN DATA, Orders'!$I:$I,'MAIN DATA, Orders'!$C:$C,"Germany",'MAIN DATA, Orders'!$N:$N,"Sondervermögen",'MAIN DATA, Orders'!$F:$F,"Fighter aircraft",'MAIN DATA, Orders'!$Q:$Q,$A17))</f>
        <v>0</v>
      </c>
      <c r="E17" s="17">
        <f>(SUMIFS('MAIN DATA, Orders'!$I:$I,'MAIN DATA, Orders'!$C:$C,"Germany",'MAIN DATA, Orders'!$N:$N,"Einzelplan 60",'MAIN DATA, Orders'!$F:$F,"Fighter aircraft",'MAIN DATA, Orders'!$Q:$Q,$A17))</f>
        <v>0</v>
      </c>
    </row>
    <row r="18" spans="1:5">
      <c r="A18" s="72">
        <v>12</v>
      </c>
      <c r="B18" s="68">
        <v>44166</v>
      </c>
      <c r="C18" s="17">
        <f>(SUMIFS('MAIN DATA, Orders'!$I:$I,'MAIN DATA, Orders'!$C:$C,"Germany",'MAIN DATA, Orders'!$N:$N,"Einzelplan 14",'MAIN DATA, Orders'!$F:$F,"Fighter aircraft",'MAIN DATA, Orders'!$Q:$Q,$A18))</f>
        <v>0</v>
      </c>
      <c r="D18" s="17">
        <f>(SUMIFS('MAIN DATA, Orders'!$I:$I,'MAIN DATA, Orders'!$C:$C,"Germany",'MAIN DATA, Orders'!$N:$N,"Sondervermögen",'MAIN DATA, Orders'!$F:$F,"Fighter aircraft",'MAIN DATA, Orders'!$Q:$Q,$A18))</f>
        <v>0</v>
      </c>
      <c r="E18" s="17">
        <f>(SUMIFS('MAIN DATA, Orders'!$I:$I,'MAIN DATA, Orders'!$C:$C,"Germany",'MAIN DATA, Orders'!$N:$N,"Einzelplan 60",'MAIN DATA, Orders'!$F:$F,"Fighter aircraft",'MAIN DATA, Orders'!$Q:$Q,$A18))</f>
        <v>0</v>
      </c>
    </row>
    <row r="19" spans="1:5">
      <c r="A19" s="72">
        <v>13</v>
      </c>
      <c r="B19" s="68">
        <v>44197</v>
      </c>
      <c r="C19" s="17">
        <f>(SUMIFS('MAIN DATA, Orders'!$I:$I,'MAIN DATA, Orders'!$C:$C,"Germany",'MAIN DATA, Orders'!$N:$N,"Einzelplan 14",'MAIN DATA, Orders'!$F:$F,"Fighter aircraft",'MAIN DATA, Orders'!$Q:$Q,$A19))</f>
        <v>0</v>
      </c>
      <c r="D19" s="17">
        <f>(SUMIFS('MAIN DATA, Orders'!$I:$I,'MAIN DATA, Orders'!$C:$C,"Germany",'MAIN DATA, Orders'!$N:$N,"Sondervermögen",'MAIN DATA, Orders'!$F:$F,"Fighter aircraft",'MAIN DATA, Orders'!$Q:$Q,$A19))</f>
        <v>0</v>
      </c>
      <c r="E19" s="17">
        <f>(SUMIFS('MAIN DATA, Orders'!$I:$I,'MAIN DATA, Orders'!$C:$C,"Germany",'MAIN DATA, Orders'!$N:$N,"Einzelplan 60",'MAIN DATA, Orders'!$F:$F,"Fighter aircraft",'MAIN DATA, Orders'!$Q:$Q,$A19))</f>
        <v>0</v>
      </c>
    </row>
    <row r="20" spans="1:5">
      <c r="A20" s="72">
        <v>14</v>
      </c>
      <c r="B20" s="68">
        <v>44228</v>
      </c>
      <c r="C20" s="17">
        <f>(SUMIFS('MAIN DATA, Orders'!$I:$I,'MAIN DATA, Orders'!$C:$C,"Germany",'MAIN DATA, Orders'!$N:$N,"Einzelplan 14",'MAIN DATA, Orders'!$F:$F,"Fighter aircraft",'MAIN DATA, Orders'!$Q:$Q,$A20))</f>
        <v>0</v>
      </c>
      <c r="D20" s="17">
        <f>(SUMIFS('MAIN DATA, Orders'!$I:$I,'MAIN DATA, Orders'!$C:$C,"Germany",'MAIN DATA, Orders'!$N:$N,"Sondervermögen",'MAIN DATA, Orders'!$F:$F,"Fighter aircraft",'MAIN DATA, Orders'!$Q:$Q,$A20))</f>
        <v>0</v>
      </c>
      <c r="E20" s="17">
        <f>(SUMIFS('MAIN DATA, Orders'!$I:$I,'MAIN DATA, Orders'!$C:$C,"Germany",'MAIN DATA, Orders'!$N:$N,"Einzelplan 60",'MAIN DATA, Orders'!$F:$F,"Fighter aircraft",'MAIN DATA, Orders'!$Q:$Q,$A20))</f>
        <v>0</v>
      </c>
    </row>
    <row r="21" spans="1:5">
      <c r="A21" s="72">
        <v>15</v>
      </c>
      <c r="B21" s="68">
        <v>44256</v>
      </c>
      <c r="C21" s="17">
        <f>(SUMIFS('MAIN DATA, Orders'!$I:$I,'MAIN DATA, Orders'!$C:$C,"Germany",'MAIN DATA, Orders'!$N:$N,"Einzelplan 14",'MAIN DATA, Orders'!$F:$F,"Fighter aircraft",'MAIN DATA, Orders'!$Q:$Q,$A21))</f>
        <v>0</v>
      </c>
      <c r="D21" s="17">
        <f>(SUMIFS('MAIN DATA, Orders'!$I:$I,'MAIN DATA, Orders'!$C:$C,"Germany",'MAIN DATA, Orders'!$N:$N,"Sondervermögen",'MAIN DATA, Orders'!$F:$F,"Fighter aircraft",'MAIN DATA, Orders'!$Q:$Q,$A21))</f>
        <v>0</v>
      </c>
      <c r="E21" s="17">
        <f>(SUMIFS('MAIN DATA, Orders'!$I:$I,'MAIN DATA, Orders'!$C:$C,"Germany",'MAIN DATA, Orders'!$N:$N,"Einzelplan 60",'MAIN DATA, Orders'!$F:$F,"Fighter aircraft",'MAIN DATA, Orders'!$Q:$Q,$A21))</f>
        <v>0</v>
      </c>
    </row>
    <row r="22" spans="1:5">
      <c r="A22" s="72">
        <v>16</v>
      </c>
      <c r="B22" s="68">
        <v>44287</v>
      </c>
      <c r="C22" s="17">
        <f>(SUMIFS('MAIN DATA, Orders'!$I:$I,'MAIN DATA, Orders'!$C:$C,"Germany",'MAIN DATA, Orders'!$N:$N,"Einzelplan 14",'MAIN DATA, Orders'!$F:$F,"Fighter aircraft",'MAIN DATA, Orders'!$Q:$Q,$A22))</f>
        <v>0</v>
      </c>
      <c r="D22" s="17">
        <f>(SUMIFS('MAIN DATA, Orders'!$I:$I,'MAIN DATA, Orders'!$C:$C,"Germany",'MAIN DATA, Orders'!$N:$N,"Sondervermögen",'MAIN DATA, Orders'!$F:$F,"Fighter aircraft",'MAIN DATA, Orders'!$Q:$Q,$A22))</f>
        <v>0</v>
      </c>
      <c r="E22" s="17">
        <f>(SUMIFS('MAIN DATA, Orders'!$I:$I,'MAIN DATA, Orders'!$C:$C,"Germany",'MAIN DATA, Orders'!$N:$N,"Einzelplan 60",'MAIN DATA, Orders'!$F:$F,"Fighter aircraft",'MAIN DATA, Orders'!$Q:$Q,$A22))</f>
        <v>0</v>
      </c>
    </row>
    <row r="23" spans="1:5">
      <c r="A23" s="72">
        <v>17</v>
      </c>
      <c r="B23" s="68">
        <v>44317</v>
      </c>
      <c r="C23" s="17">
        <f>(SUMIFS('MAIN DATA, Orders'!$I:$I,'MAIN DATA, Orders'!$C:$C,"Germany",'MAIN DATA, Orders'!$N:$N,"Einzelplan 14",'MAIN DATA, Orders'!$F:$F,"Fighter aircraft",'MAIN DATA, Orders'!$Q:$Q,$A23))</f>
        <v>0</v>
      </c>
      <c r="D23" s="17">
        <f>(SUMIFS('MAIN DATA, Orders'!$I:$I,'MAIN DATA, Orders'!$C:$C,"Germany",'MAIN DATA, Orders'!$N:$N,"Sondervermögen",'MAIN DATA, Orders'!$F:$F,"Fighter aircraft",'MAIN DATA, Orders'!$Q:$Q,$A23))</f>
        <v>0</v>
      </c>
      <c r="E23" s="17">
        <f>(SUMIFS('MAIN DATA, Orders'!$I:$I,'MAIN DATA, Orders'!$C:$C,"Germany",'MAIN DATA, Orders'!$N:$N,"Einzelplan 60",'MAIN DATA, Orders'!$F:$F,"Fighter aircraft",'MAIN DATA, Orders'!$Q:$Q,$A23))</f>
        <v>0</v>
      </c>
    </row>
    <row r="24" spans="1:5">
      <c r="A24" s="72">
        <v>18</v>
      </c>
      <c r="B24" s="68">
        <v>44348</v>
      </c>
      <c r="C24" s="17">
        <f>(SUMIFS('MAIN DATA, Orders'!$I:$I,'MAIN DATA, Orders'!$C:$C,"Germany",'MAIN DATA, Orders'!$N:$N,"Einzelplan 14",'MAIN DATA, Orders'!$F:$F,"Fighter aircraft",'MAIN DATA, Orders'!$Q:$Q,$A24))</f>
        <v>0</v>
      </c>
      <c r="D24" s="17">
        <f>(SUMIFS('MAIN DATA, Orders'!$I:$I,'MAIN DATA, Orders'!$C:$C,"Germany",'MAIN DATA, Orders'!$N:$N,"Sondervermögen",'MAIN DATA, Orders'!$F:$F,"Fighter aircraft",'MAIN DATA, Orders'!$Q:$Q,$A24))</f>
        <v>0</v>
      </c>
      <c r="E24" s="17">
        <f>(SUMIFS('MAIN DATA, Orders'!$I:$I,'MAIN DATA, Orders'!$C:$C,"Germany",'MAIN DATA, Orders'!$N:$N,"Einzelplan 60",'MAIN DATA, Orders'!$F:$F,"Fighter aircraft",'MAIN DATA, Orders'!$Q:$Q,$A24))</f>
        <v>0</v>
      </c>
    </row>
    <row r="25" spans="1:5">
      <c r="A25" s="72">
        <v>19</v>
      </c>
      <c r="B25" s="68">
        <v>44378</v>
      </c>
      <c r="C25" s="17">
        <f>(SUMIFS('MAIN DATA, Orders'!$I:$I,'MAIN DATA, Orders'!$C:$C,"Germany",'MAIN DATA, Orders'!$N:$N,"Einzelplan 14",'MAIN DATA, Orders'!$F:$F,"Fighter aircraft",'MAIN DATA, Orders'!$Q:$Q,$A25))</f>
        <v>0</v>
      </c>
      <c r="D25" s="17">
        <f>(SUMIFS('MAIN DATA, Orders'!$I:$I,'MAIN DATA, Orders'!$C:$C,"Germany",'MAIN DATA, Orders'!$N:$N,"Sondervermögen",'MAIN DATA, Orders'!$F:$F,"Fighter aircraft",'MAIN DATA, Orders'!$Q:$Q,$A25))</f>
        <v>0</v>
      </c>
      <c r="E25" s="17">
        <f>(SUMIFS('MAIN DATA, Orders'!$I:$I,'MAIN DATA, Orders'!$C:$C,"Germany",'MAIN DATA, Orders'!$N:$N,"Einzelplan 60",'MAIN DATA, Orders'!$F:$F,"Fighter aircraft",'MAIN DATA, Orders'!$Q:$Q,$A25))</f>
        <v>0</v>
      </c>
    </row>
    <row r="26" spans="1:5">
      <c r="A26" s="72">
        <v>20</v>
      </c>
      <c r="B26" s="68">
        <v>44409</v>
      </c>
      <c r="C26" s="17">
        <f>(SUMIFS('MAIN DATA, Orders'!$I:$I,'MAIN DATA, Orders'!$C:$C,"Germany",'MAIN DATA, Orders'!$N:$N,"Einzelplan 14",'MAIN DATA, Orders'!$F:$F,"Fighter aircraft",'MAIN DATA, Orders'!$Q:$Q,$A26))</f>
        <v>0</v>
      </c>
      <c r="D26" s="17">
        <f>(SUMIFS('MAIN DATA, Orders'!$I:$I,'MAIN DATA, Orders'!$C:$C,"Germany",'MAIN DATA, Orders'!$N:$N,"Sondervermögen",'MAIN DATA, Orders'!$F:$F,"Fighter aircraft",'MAIN DATA, Orders'!$Q:$Q,$A26))</f>
        <v>0</v>
      </c>
      <c r="E26" s="17">
        <f>(SUMIFS('MAIN DATA, Orders'!$I:$I,'MAIN DATA, Orders'!$C:$C,"Germany",'MAIN DATA, Orders'!$N:$N,"Einzelplan 60",'MAIN DATA, Orders'!$F:$F,"Fighter aircraft",'MAIN DATA, Orders'!$Q:$Q,$A26))</f>
        <v>0</v>
      </c>
    </row>
    <row r="27" spans="1:5">
      <c r="A27" s="72">
        <v>21</v>
      </c>
      <c r="B27" s="68">
        <v>44440</v>
      </c>
      <c r="C27" s="17">
        <f>(SUMIFS('MAIN DATA, Orders'!$I:$I,'MAIN DATA, Orders'!$C:$C,"Germany",'MAIN DATA, Orders'!$N:$N,"Einzelplan 14",'MAIN DATA, Orders'!$F:$F,"Fighter aircraft",'MAIN DATA, Orders'!$Q:$Q,$A27))</f>
        <v>0</v>
      </c>
      <c r="D27" s="17">
        <f>(SUMIFS('MAIN DATA, Orders'!$I:$I,'MAIN DATA, Orders'!$C:$C,"Germany",'MAIN DATA, Orders'!$N:$N,"Sondervermögen",'MAIN DATA, Orders'!$F:$F,"Fighter aircraft",'MAIN DATA, Orders'!$Q:$Q,$A27))</f>
        <v>0</v>
      </c>
      <c r="E27" s="17">
        <f>(SUMIFS('MAIN DATA, Orders'!$I:$I,'MAIN DATA, Orders'!$C:$C,"Germany",'MAIN DATA, Orders'!$N:$N,"Einzelplan 60",'MAIN DATA, Orders'!$F:$F,"Fighter aircraft",'MAIN DATA, Orders'!$Q:$Q,$A27))</f>
        <v>0</v>
      </c>
    </row>
    <row r="28" spans="1:5">
      <c r="A28" s="72">
        <v>22</v>
      </c>
      <c r="B28" s="68">
        <v>44470</v>
      </c>
      <c r="C28" s="17">
        <f>(SUMIFS('MAIN DATA, Orders'!$I:$I,'MAIN DATA, Orders'!$C:$C,"Germany",'MAIN DATA, Orders'!$N:$N,"Einzelplan 14",'MAIN DATA, Orders'!$F:$F,"Fighter aircraft",'MAIN DATA, Orders'!$Q:$Q,$A28))</f>
        <v>0</v>
      </c>
      <c r="D28" s="17">
        <f>(SUMIFS('MAIN DATA, Orders'!$I:$I,'MAIN DATA, Orders'!$C:$C,"Germany",'MAIN DATA, Orders'!$N:$N,"Sondervermögen",'MAIN DATA, Orders'!$F:$F,"Fighter aircraft",'MAIN DATA, Orders'!$Q:$Q,$A28))</f>
        <v>0</v>
      </c>
      <c r="E28" s="17">
        <f>(SUMIFS('MAIN DATA, Orders'!$I:$I,'MAIN DATA, Orders'!$C:$C,"Germany",'MAIN DATA, Orders'!$N:$N,"Einzelplan 60",'MAIN DATA, Orders'!$F:$F,"Fighter aircraft",'MAIN DATA, Orders'!$Q:$Q,$A28))</f>
        <v>0</v>
      </c>
    </row>
    <row r="29" spans="1:5">
      <c r="A29" s="72">
        <v>23</v>
      </c>
      <c r="B29" s="68">
        <v>44501</v>
      </c>
      <c r="C29" s="17">
        <f>(SUMIFS('MAIN DATA, Orders'!$I:$I,'MAIN DATA, Orders'!$C:$C,"Germany",'MAIN DATA, Orders'!$N:$N,"Einzelplan 14",'MAIN DATA, Orders'!$F:$F,"Fighter aircraft",'MAIN DATA, Orders'!$Q:$Q,$A29))</f>
        <v>0</v>
      </c>
      <c r="D29" s="17">
        <f>(SUMIFS('MAIN DATA, Orders'!$I:$I,'MAIN DATA, Orders'!$C:$C,"Germany",'MAIN DATA, Orders'!$N:$N,"Sondervermögen",'MAIN DATA, Orders'!$F:$F,"Fighter aircraft",'MAIN DATA, Orders'!$Q:$Q,$A29))</f>
        <v>0</v>
      </c>
      <c r="E29" s="17">
        <f>(SUMIFS('MAIN DATA, Orders'!$I:$I,'MAIN DATA, Orders'!$C:$C,"Germany",'MAIN DATA, Orders'!$N:$N,"Einzelplan 60",'MAIN DATA, Orders'!$F:$F,"Fighter aircraft",'MAIN DATA, Orders'!$Q:$Q,$A29))</f>
        <v>0</v>
      </c>
    </row>
    <row r="30" spans="1:5">
      <c r="A30" s="72">
        <v>24</v>
      </c>
      <c r="B30" s="68">
        <v>44531</v>
      </c>
      <c r="C30" s="17">
        <f>(SUMIFS('MAIN DATA, Orders'!$I:$I,'MAIN DATA, Orders'!$C:$C,"Germany",'MAIN DATA, Orders'!$N:$N,"Einzelplan 14",'MAIN DATA, Orders'!$F:$F,"Fighter aircraft",'MAIN DATA, Orders'!$Q:$Q,$A30))</f>
        <v>0</v>
      </c>
      <c r="D30" s="17">
        <f>(SUMIFS('MAIN DATA, Orders'!$I:$I,'MAIN DATA, Orders'!$C:$C,"Germany",'MAIN DATA, Orders'!$N:$N,"Sondervermögen",'MAIN DATA, Orders'!$F:$F,"Fighter aircraft",'MAIN DATA, Orders'!$Q:$Q,$A30))</f>
        <v>0</v>
      </c>
      <c r="E30" s="17">
        <f>(SUMIFS('MAIN DATA, Orders'!$I:$I,'MAIN DATA, Orders'!$C:$C,"Germany",'MAIN DATA, Orders'!$N:$N,"Einzelplan 60",'MAIN DATA, Orders'!$F:$F,"Fighter aircraft",'MAIN DATA, Orders'!$Q:$Q,$A30))</f>
        <v>0</v>
      </c>
    </row>
    <row r="31" spans="1:5">
      <c r="A31" s="72">
        <v>25</v>
      </c>
      <c r="B31" s="68">
        <v>44562</v>
      </c>
      <c r="C31" s="17">
        <f>(SUMIFS('MAIN DATA, Orders'!$I:$I,'MAIN DATA, Orders'!$C:$C,"Germany",'MAIN DATA, Orders'!$N:$N,"Einzelplan 14",'MAIN DATA, Orders'!$F:$F,"Fighter aircraft",'MAIN DATA, Orders'!$Q:$Q,$A31))</f>
        <v>0</v>
      </c>
      <c r="D31" s="17">
        <f>(SUMIFS('MAIN DATA, Orders'!$I:$I,'MAIN DATA, Orders'!$C:$C,"Germany",'MAIN DATA, Orders'!$N:$N,"Sondervermögen",'MAIN DATA, Orders'!$F:$F,"Fighter aircraft",'MAIN DATA, Orders'!$Q:$Q,$A31))</f>
        <v>0</v>
      </c>
      <c r="E31" s="17">
        <f>(SUMIFS('MAIN DATA, Orders'!$I:$I,'MAIN DATA, Orders'!$C:$C,"Germany",'MAIN DATA, Orders'!$N:$N,"Einzelplan 60",'MAIN DATA, Orders'!$F:$F,"Fighter aircraft",'MAIN DATA, Orders'!$Q:$Q,$A31))</f>
        <v>0</v>
      </c>
    </row>
    <row r="32" spans="1:5">
      <c r="A32" s="72">
        <v>26</v>
      </c>
      <c r="B32" s="68">
        <v>44593</v>
      </c>
      <c r="C32" s="17">
        <f>(SUMIFS('MAIN DATA, Orders'!$I:$I,'MAIN DATA, Orders'!$C:$C,"Germany",'MAIN DATA, Orders'!$N:$N,"Einzelplan 14",'MAIN DATA, Orders'!$F:$F,"Fighter aircraft",'MAIN DATA, Orders'!$Q:$Q,$A32))</f>
        <v>0</v>
      </c>
      <c r="D32" s="17">
        <f>(SUMIFS('MAIN DATA, Orders'!$I:$I,'MAIN DATA, Orders'!$C:$C,"Germany",'MAIN DATA, Orders'!$N:$N,"Sondervermögen",'MAIN DATA, Orders'!$F:$F,"Fighter aircraft",'MAIN DATA, Orders'!$Q:$Q,$A32))</f>
        <v>0</v>
      </c>
      <c r="E32" s="17">
        <f>(SUMIFS('MAIN DATA, Orders'!$I:$I,'MAIN DATA, Orders'!$C:$C,"Germany",'MAIN DATA, Orders'!$N:$N,"Einzelplan 60",'MAIN DATA, Orders'!$F:$F,"Fighter aircraft",'MAIN DATA, Orders'!$Q:$Q,$A32))</f>
        <v>0</v>
      </c>
    </row>
    <row r="33" spans="1:5">
      <c r="A33" s="72">
        <v>27</v>
      </c>
      <c r="B33" s="68">
        <v>44621</v>
      </c>
      <c r="C33" s="17">
        <f>(SUMIFS('MAIN DATA, Orders'!$I:$I,'MAIN DATA, Orders'!$C:$C,"Germany",'MAIN DATA, Orders'!$N:$N,"Einzelplan 14",'MAIN DATA, Orders'!$F:$F,"Fighter aircraft",'MAIN DATA, Orders'!$Q:$Q,$A33))</f>
        <v>0</v>
      </c>
      <c r="D33" s="17">
        <f>(SUMIFS('MAIN DATA, Orders'!$I:$I,'MAIN DATA, Orders'!$C:$C,"Germany",'MAIN DATA, Orders'!$N:$N,"Sondervermögen",'MAIN DATA, Orders'!$F:$F,"Fighter aircraft",'MAIN DATA, Orders'!$Q:$Q,$A33))</f>
        <v>0</v>
      </c>
      <c r="E33" s="17">
        <f>(SUMIFS('MAIN DATA, Orders'!$I:$I,'MAIN DATA, Orders'!$C:$C,"Germany",'MAIN DATA, Orders'!$N:$N,"Einzelplan 60",'MAIN DATA, Orders'!$F:$F,"Fighter aircraft",'MAIN DATA, Orders'!$Q:$Q,$A33))</f>
        <v>0</v>
      </c>
    </row>
    <row r="34" spans="1:5">
      <c r="A34" s="72">
        <v>28</v>
      </c>
      <c r="B34" s="68">
        <v>44652</v>
      </c>
      <c r="C34" s="17">
        <f>(SUMIFS('MAIN DATA, Orders'!$I:$I,'MAIN DATA, Orders'!$C:$C,"Germany",'MAIN DATA, Orders'!$N:$N,"Einzelplan 14",'MAIN DATA, Orders'!$F:$F,"Fighter aircraft",'MAIN DATA, Orders'!$Q:$Q,$A34))</f>
        <v>0</v>
      </c>
      <c r="D34" s="17">
        <f>(SUMIFS('MAIN DATA, Orders'!$I:$I,'MAIN DATA, Orders'!$C:$C,"Germany",'MAIN DATA, Orders'!$N:$N,"Sondervermögen",'MAIN DATA, Orders'!$F:$F,"Fighter aircraft",'MAIN DATA, Orders'!$Q:$Q,$A34))</f>
        <v>0</v>
      </c>
      <c r="E34" s="17">
        <f>(SUMIFS('MAIN DATA, Orders'!$I:$I,'MAIN DATA, Orders'!$C:$C,"Germany",'MAIN DATA, Orders'!$N:$N,"Einzelplan 60",'MAIN DATA, Orders'!$F:$F,"Fighter aircraft",'MAIN DATA, Orders'!$Q:$Q,$A34))</f>
        <v>0</v>
      </c>
    </row>
    <row r="35" spans="1:5">
      <c r="A35" s="72">
        <v>29</v>
      </c>
      <c r="B35" s="68">
        <v>44682</v>
      </c>
      <c r="C35" s="17">
        <f>(SUMIFS('MAIN DATA, Orders'!$I:$I,'MAIN DATA, Orders'!$C:$C,"Germany",'MAIN DATA, Orders'!$N:$N,"Einzelplan 14",'MAIN DATA, Orders'!$F:$F,"Fighter aircraft",'MAIN DATA, Orders'!$Q:$Q,$A35))</f>
        <v>0</v>
      </c>
      <c r="D35" s="17">
        <f>(SUMIFS('MAIN DATA, Orders'!$I:$I,'MAIN DATA, Orders'!$C:$C,"Germany",'MAIN DATA, Orders'!$N:$N,"Sondervermögen",'MAIN DATA, Orders'!$F:$F,"Fighter aircraft",'MAIN DATA, Orders'!$Q:$Q,$A35))</f>
        <v>0</v>
      </c>
      <c r="E35" s="17">
        <f>(SUMIFS('MAIN DATA, Orders'!$I:$I,'MAIN DATA, Orders'!$C:$C,"Germany",'MAIN DATA, Orders'!$N:$N,"Einzelplan 60",'MAIN DATA, Orders'!$F:$F,"Fighter aircraft",'MAIN DATA, Orders'!$Q:$Q,$A35))</f>
        <v>0</v>
      </c>
    </row>
    <row r="36" spans="1:5">
      <c r="A36" s="72">
        <v>30</v>
      </c>
      <c r="B36" s="68">
        <v>44713</v>
      </c>
      <c r="C36" s="17">
        <f>(SUMIFS('MAIN DATA, Orders'!$I:$I,'MAIN DATA, Orders'!$C:$C,"Germany",'MAIN DATA, Orders'!$N:$N,"Einzelplan 14",'MAIN DATA, Orders'!$F:$F,"Fighter aircraft",'MAIN DATA, Orders'!$Q:$Q,$A36))</f>
        <v>0</v>
      </c>
      <c r="D36" s="17">
        <f>(SUMIFS('MAIN DATA, Orders'!$I:$I,'MAIN DATA, Orders'!$C:$C,"Germany",'MAIN DATA, Orders'!$N:$N,"Sondervermögen",'MAIN DATA, Orders'!$F:$F,"Fighter aircraft",'MAIN DATA, Orders'!$Q:$Q,$A36))</f>
        <v>0</v>
      </c>
      <c r="E36" s="17">
        <f>(SUMIFS('MAIN DATA, Orders'!$I:$I,'MAIN DATA, Orders'!$C:$C,"Germany",'MAIN DATA, Orders'!$N:$N,"Einzelplan 60",'MAIN DATA, Orders'!$F:$F,"Fighter aircraft",'MAIN DATA, Orders'!$Q:$Q,$A36))</f>
        <v>0</v>
      </c>
    </row>
    <row r="37" spans="1:5">
      <c r="A37" s="72">
        <v>31</v>
      </c>
      <c r="B37" s="68">
        <v>44743</v>
      </c>
      <c r="C37" s="17">
        <f>(SUMIFS('MAIN DATA, Orders'!$I:$I,'MAIN DATA, Orders'!$C:$C,"Germany",'MAIN DATA, Orders'!$N:$N,"Einzelplan 14",'MAIN DATA, Orders'!$F:$F,"Fighter aircraft",'MAIN DATA, Orders'!$Q:$Q,$A37))</f>
        <v>0</v>
      </c>
      <c r="D37" s="17">
        <f>(SUMIFS('MAIN DATA, Orders'!$I:$I,'MAIN DATA, Orders'!$C:$C,"Germany",'MAIN DATA, Orders'!$N:$N,"Sondervermögen",'MAIN DATA, Orders'!$F:$F,"Fighter aircraft",'MAIN DATA, Orders'!$Q:$Q,$A37))</f>
        <v>0</v>
      </c>
      <c r="E37" s="17">
        <f>(SUMIFS('MAIN DATA, Orders'!$I:$I,'MAIN DATA, Orders'!$C:$C,"Germany",'MAIN DATA, Orders'!$N:$N,"Einzelplan 60",'MAIN DATA, Orders'!$F:$F,"Fighter aircraft",'MAIN DATA, Orders'!$Q:$Q,$A37))</f>
        <v>0</v>
      </c>
    </row>
    <row r="38" spans="1:5">
      <c r="A38" s="72">
        <v>32</v>
      </c>
      <c r="B38" s="68">
        <v>44774</v>
      </c>
      <c r="C38" s="17">
        <f>(SUMIFS('MAIN DATA, Orders'!$I:$I,'MAIN DATA, Orders'!$C:$C,"Germany",'MAIN DATA, Orders'!$N:$N,"Einzelplan 14",'MAIN DATA, Orders'!$F:$F,"Fighter aircraft",'MAIN DATA, Orders'!$Q:$Q,$A38))</f>
        <v>0</v>
      </c>
      <c r="D38" s="17">
        <f>(SUMIFS('MAIN DATA, Orders'!$I:$I,'MAIN DATA, Orders'!$C:$C,"Germany",'MAIN DATA, Orders'!$N:$N,"Sondervermögen",'MAIN DATA, Orders'!$F:$F,"Fighter aircraft",'MAIN DATA, Orders'!$Q:$Q,$A38))</f>
        <v>0</v>
      </c>
      <c r="E38" s="17">
        <f>(SUMIFS('MAIN DATA, Orders'!$I:$I,'MAIN DATA, Orders'!$C:$C,"Germany",'MAIN DATA, Orders'!$N:$N,"Einzelplan 60",'MAIN DATA, Orders'!$F:$F,"Fighter aircraft",'MAIN DATA, Orders'!$Q:$Q,$A38))</f>
        <v>0</v>
      </c>
    </row>
    <row r="39" spans="1:5">
      <c r="A39" s="72">
        <v>33</v>
      </c>
      <c r="B39" s="68">
        <v>44805</v>
      </c>
      <c r="C39" s="17">
        <f>(SUMIFS('MAIN DATA, Orders'!$I:$I,'MAIN DATA, Orders'!$C:$C,"Germany",'MAIN DATA, Orders'!$N:$N,"Einzelplan 14",'MAIN DATA, Orders'!$F:$F,"Fighter aircraft",'MAIN DATA, Orders'!$Q:$Q,$A39))</f>
        <v>0</v>
      </c>
      <c r="D39" s="17">
        <f>(SUMIFS('MAIN DATA, Orders'!$I:$I,'MAIN DATA, Orders'!$C:$C,"Germany",'MAIN DATA, Orders'!$N:$N,"Sondervermögen",'MAIN DATA, Orders'!$F:$F,"Fighter aircraft",'MAIN DATA, Orders'!$Q:$Q,$A39))</f>
        <v>0</v>
      </c>
      <c r="E39" s="17">
        <f>(SUMIFS('MAIN DATA, Orders'!$I:$I,'MAIN DATA, Orders'!$C:$C,"Germany",'MAIN DATA, Orders'!$N:$N,"Einzelplan 60",'MAIN DATA, Orders'!$F:$F,"Fighter aircraft",'MAIN DATA, Orders'!$Q:$Q,$A39))</f>
        <v>0</v>
      </c>
    </row>
    <row r="40" spans="1:5">
      <c r="A40" s="72">
        <v>34</v>
      </c>
      <c r="B40" s="68">
        <v>44835</v>
      </c>
      <c r="C40" s="17">
        <f>(SUMIFS('MAIN DATA, Orders'!$I:$I,'MAIN DATA, Orders'!$C:$C,"Germany",'MAIN DATA, Orders'!$N:$N,"Einzelplan 14",'MAIN DATA, Orders'!$F:$F,"Fighter aircraft",'MAIN DATA, Orders'!$Q:$Q,$A40))</f>
        <v>0</v>
      </c>
      <c r="D40" s="17">
        <f>(SUMIFS('MAIN DATA, Orders'!$I:$I,'MAIN DATA, Orders'!$C:$C,"Germany",'MAIN DATA, Orders'!$N:$N,"Sondervermögen",'MAIN DATA, Orders'!$F:$F,"Fighter aircraft",'MAIN DATA, Orders'!$Q:$Q,$A40))</f>
        <v>0</v>
      </c>
      <c r="E40" s="17">
        <f>(SUMIFS('MAIN DATA, Orders'!$I:$I,'MAIN DATA, Orders'!$C:$C,"Germany",'MAIN DATA, Orders'!$N:$N,"Einzelplan 60",'MAIN DATA, Orders'!$F:$F,"Fighter aircraft",'MAIN DATA, Orders'!$Q:$Q,$A40))</f>
        <v>0</v>
      </c>
    </row>
    <row r="41" spans="1:5">
      <c r="A41" s="72">
        <v>35</v>
      </c>
      <c r="B41" s="68">
        <v>44866</v>
      </c>
      <c r="C41" s="17">
        <f>(SUMIFS('MAIN DATA, Orders'!$I:$I,'MAIN DATA, Orders'!$C:$C,"Germany",'MAIN DATA, Orders'!$N:$N,"Einzelplan 14",'MAIN DATA, Orders'!$F:$F,"Fighter aircraft",'MAIN DATA, Orders'!$Q:$Q,$A41))</f>
        <v>0</v>
      </c>
      <c r="D41" s="17">
        <f>(SUMIFS('MAIN DATA, Orders'!$I:$I,'MAIN DATA, Orders'!$C:$C,"Germany",'MAIN DATA, Orders'!$N:$N,"Sondervermögen",'MAIN DATA, Orders'!$F:$F,"Fighter aircraft",'MAIN DATA, Orders'!$Q:$Q,$A41))</f>
        <v>0</v>
      </c>
      <c r="E41" s="17">
        <f>(SUMIFS('MAIN DATA, Orders'!$I:$I,'MAIN DATA, Orders'!$C:$C,"Germany",'MAIN DATA, Orders'!$N:$N,"Einzelplan 60",'MAIN DATA, Orders'!$F:$F,"Fighter aircraft",'MAIN DATA, Orders'!$Q:$Q,$A41))</f>
        <v>0</v>
      </c>
    </row>
    <row r="42" spans="1:5">
      <c r="A42" s="72">
        <v>36</v>
      </c>
      <c r="B42" s="68">
        <v>44896</v>
      </c>
      <c r="C42" s="17">
        <f>(SUMIFS('MAIN DATA, Orders'!$I:$I,'MAIN DATA, Orders'!$C:$C,"Germany",'MAIN DATA, Orders'!$N:$N,"Einzelplan 14",'MAIN DATA, Orders'!$F:$F,"Fighter aircraft",'MAIN DATA, Orders'!$Q:$Q,$A42))</f>
        <v>0</v>
      </c>
      <c r="D42" s="17">
        <f>(SUMIFS('MAIN DATA, Orders'!$I:$I,'MAIN DATA, Orders'!$C:$C,"Germany",'MAIN DATA, Orders'!$N:$N,"Sondervermögen",'MAIN DATA, Orders'!$F:$F,"Fighter aircraft",'MAIN DATA, Orders'!$Q:$Q,$A42))</f>
        <v>35</v>
      </c>
      <c r="E42" s="17">
        <f>(SUMIFS('MAIN DATA, Orders'!$I:$I,'MAIN DATA, Orders'!$C:$C,"Germany",'MAIN DATA, Orders'!$N:$N,"Einzelplan 60",'MAIN DATA, Orders'!$F:$F,"Fighter aircraft",'MAIN DATA, Orders'!$Q:$Q,$A42))</f>
        <v>0</v>
      </c>
    </row>
    <row r="43" spans="1:5">
      <c r="A43" s="72">
        <v>37</v>
      </c>
      <c r="B43" s="68">
        <v>44927</v>
      </c>
      <c r="C43" s="17">
        <f>(SUMIFS('MAIN DATA, Orders'!$I:$I,'MAIN DATA, Orders'!$C:$C,"Germany",'MAIN DATA, Orders'!$N:$N,"Einzelplan 14",'MAIN DATA, Orders'!$F:$F,"Fighter aircraft",'MAIN DATA, Orders'!$Q:$Q,$A43))</f>
        <v>0</v>
      </c>
      <c r="D43" s="17">
        <f>(SUMIFS('MAIN DATA, Orders'!$I:$I,'MAIN DATA, Orders'!$C:$C,"Germany",'MAIN DATA, Orders'!$N:$N,"Sondervermögen",'MAIN DATA, Orders'!$F:$F,"Fighter aircraft",'MAIN DATA, Orders'!$Q:$Q,$A43))</f>
        <v>0</v>
      </c>
      <c r="E43" s="17">
        <f>(SUMIFS('MAIN DATA, Orders'!$I:$I,'MAIN DATA, Orders'!$C:$C,"Germany",'MAIN DATA, Orders'!$N:$N,"Einzelplan 60",'MAIN DATA, Orders'!$F:$F,"Fighter aircraft",'MAIN DATA, Orders'!$Q:$Q,$A43))</f>
        <v>0</v>
      </c>
    </row>
    <row r="44" spans="1:5">
      <c r="A44" s="72">
        <v>38</v>
      </c>
      <c r="B44" s="68">
        <v>44958</v>
      </c>
      <c r="C44" s="17">
        <f>(SUMIFS('MAIN DATA, Orders'!$I:$I,'MAIN DATA, Orders'!$C:$C,"Germany",'MAIN DATA, Orders'!$N:$N,"Einzelplan 14",'MAIN DATA, Orders'!$F:$F,"Fighter aircraft",'MAIN DATA, Orders'!$Q:$Q,$A44))</f>
        <v>0</v>
      </c>
      <c r="D44" s="17">
        <f>(SUMIFS('MAIN DATA, Orders'!$I:$I,'MAIN DATA, Orders'!$C:$C,"Germany",'MAIN DATA, Orders'!$N:$N,"Sondervermögen",'MAIN DATA, Orders'!$F:$F,"Fighter aircraft",'MAIN DATA, Orders'!$Q:$Q,$A44))</f>
        <v>0</v>
      </c>
      <c r="E44" s="17">
        <f>(SUMIFS('MAIN DATA, Orders'!$I:$I,'MAIN DATA, Orders'!$C:$C,"Germany",'MAIN DATA, Orders'!$N:$N,"Einzelplan 60",'MAIN DATA, Orders'!$F:$F,"Fighter aircraft",'MAIN DATA, Orders'!$Q:$Q,$A44))</f>
        <v>0</v>
      </c>
    </row>
    <row r="45" spans="1:5">
      <c r="A45" s="72">
        <v>39</v>
      </c>
      <c r="B45" s="68">
        <v>44986</v>
      </c>
      <c r="C45" s="17">
        <f>(SUMIFS('MAIN DATA, Orders'!$I:$I,'MAIN DATA, Orders'!$C:$C,"Germany",'MAIN DATA, Orders'!$N:$N,"Einzelplan 14",'MAIN DATA, Orders'!$F:$F,"Fighter aircraft",'MAIN DATA, Orders'!$Q:$Q,$A45))</f>
        <v>0</v>
      </c>
      <c r="D45" s="17">
        <f>(SUMIFS('MAIN DATA, Orders'!$I:$I,'MAIN DATA, Orders'!$C:$C,"Germany",'MAIN DATA, Orders'!$N:$N,"Sondervermögen",'MAIN DATA, Orders'!$F:$F,"Fighter aircraft",'MAIN DATA, Orders'!$Q:$Q,$A45))</f>
        <v>0</v>
      </c>
      <c r="E45" s="17">
        <f>(SUMIFS('MAIN DATA, Orders'!$I:$I,'MAIN DATA, Orders'!$C:$C,"Germany",'MAIN DATA, Orders'!$N:$N,"Einzelplan 60",'MAIN DATA, Orders'!$F:$F,"Fighter aircraft",'MAIN DATA, Orders'!$Q:$Q,$A45))</f>
        <v>0</v>
      </c>
    </row>
    <row r="46" spans="1:5">
      <c r="A46" s="72">
        <v>40</v>
      </c>
      <c r="B46" s="68">
        <v>45017</v>
      </c>
      <c r="C46" s="17">
        <f>(SUMIFS('MAIN DATA, Orders'!$I:$I,'MAIN DATA, Orders'!$C:$C,"Germany",'MAIN DATA, Orders'!$N:$N,"Einzelplan 14",'MAIN DATA, Orders'!$F:$F,"Fighter aircraft",'MAIN DATA, Orders'!$Q:$Q,$A46))</f>
        <v>0</v>
      </c>
      <c r="D46" s="17">
        <f>(SUMIFS('MAIN DATA, Orders'!$I:$I,'MAIN DATA, Orders'!$C:$C,"Germany",'MAIN DATA, Orders'!$N:$N,"Sondervermögen",'MAIN DATA, Orders'!$F:$F,"Fighter aircraft",'MAIN DATA, Orders'!$Q:$Q,$A46))</f>
        <v>0</v>
      </c>
      <c r="E46" s="17">
        <f>(SUMIFS('MAIN DATA, Orders'!$I:$I,'MAIN DATA, Orders'!$C:$C,"Germany",'MAIN DATA, Orders'!$N:$N,"Einzelplan 60",'MAIN DATA, Orders'!$F:$F,"Fighter aircraft",'MAIN DATA, Orders'!$Q:$Q,$A46))</f>
        <v>0</v>
      </c>
    </row>
    <row r="47" spans="1:5">
      <c r="A47" s="72">
        <v>41</v>
      </c>
      <c r="B47" s="68">
        <v>45047</v>
      </c>
      <c r="C47" s="17">
        <f>(SUMIFS('MAIN DATA, Orders'!$I:$I,'MAIN DATA, Orders'!$C:$C,"Germany",'MAIN DATA, Orders'!$N:$N,"Einzelplan 14",'MAIN DATA, Orders'!$F:$F,"Fighter aircraft",'MAIN DATA, Orders'!$Q:$Q,$A47))</f>
        <v>0</v>
      </c>
      <c r="D47" s="17">
        <f>(SUMIFS('MAIN DATA, Orders'!$I:$I,'MAIN DATA, Orders'!$C:$C,"Germany",'MAIN DATA, Orders'!$N:$N,"Sondervermögen",'MAIN DATA, Orders'!$F:$F,"Fighter aircraft",'MAIN DATA, Orders'!$Q:$Q,$A47))</f>
        <v>0</v>
      </c>
      <c r="E47" s="17">
        <f>(SUMIFS('MAIN DATA, Orders'!$I:$I,'MAIN DATA, Orders'!$C:$C,"Germany",'MAIN DATA, Orders'!$N:$N,"Einzelplan 60",'MAIN DATA, Orders'!$F:$F,"Fighter aircraft",'MAIN DATA, Orders'!$Q:$Q,$A47))</f>
        <v>0</v>
      </c>
    </row>
    <row r="48" spans="1:5">
      <c r="A48" s="72">
        <v>42</v>
      </c>
      <c r="B48" s="68">
        <v>45078</v>
      </c>
      <c r="C48" s="17">
        <f>(SUMIFS('MAIN DATA, Orders'!$I:$I,'MAIN DATA, Orders'!$C:$C,"Germany",'MAIN DATA, Orders'!$N:$N,"Einzelplan 14",'MAIN DATA, Orders'!$F:$F,"Fighter aircraft",'MAIN DATA, Orders'!$Q:$Q,$A48))</f>
        <v>0</v>
      </c>
      <c r="D48" s="17">
        <f>(SUMIFS('MAIN DATA, Orders'!$I:$I,'MAIN DATA, Orders'!$C:$C,"Germany",'MAIN DATA, Orders'!$N:$N,"Sondervermögen",'MAIN DATA, Orders'!$F:$F,"Fighter aircraft",'MAIN DATA, Orders'!$Q:$Q,$A48))</f>
        <v>0</v>
      </c>
      <c r="E48" s="17">
        <f>(SUMIFS('MAIN DATA, Orders'!$I:$I,'MAIN DATA, Orders'!$C:$C,"Germany",'MAIN DATA, Orders'!$N:$N,"Einzelplan 60",'MAIN DATA, Orders'!$F:$F,"Fighter aircraft",'MAIN DATA, Orders'!$Q:$Q,$A48))</f>
        <v>0</v>
      </c>
    </row>
    <row r="49" spans="1:5">
      <c r="A49" s="72">
        <v>43</v>
      </c>
      <c r="B49" s="68">
        <v>45108</v>
      </c>
      <c r="C49" s="17">
        <f>(SUMIFS('MAIN DATA, Orders'!$I:$I,'MAIN DATA, Orders'!$C:$C,"Germany",'MAIN DATA, Orders'!$N:$N,"Einzelplan 14",'MAIN DATA, Orders'!$F:$F,"Fighter aircraft",'MAIN DATA, Orders'!$Q:$Q,$A49))</f>
        <v>0</v>
      </c>
      <c r="D49" s="17">
        <f>(SUMIFS('MAIN DATA, Orders'!$I:$I,'MAIN DATA, Orders'!$C:$C,"Germany",'MAIN DATA, Orders'!$N:$N,"Sondervermögen",'MAIN DATA, Orders'!$F:$F,"Fighter aircraft",'MAIN DATA, Orders'!$Q:$Q,$A49))</f>
        <v>0</v>
      </c>
      <c r="E49" s="17">
        <f>(SUMIFS('MAIN DATA, Orders'!$I:$I,'MAIN DATA, Orders'!$C:$C,"Germany",'MAIN DATA, Orders'!$N:$N,"Einzelplan 60",'MAIN DATA, Orders'!$F:$F,"Fighter aircraft",'MAIN DATA, Orders'!$Q:$Q,$A49))</f>
        <v>0</v>
      </c>
    </row>
    <row r="50" spans="1:5">
      <c r="A50" s="72">
        <v>44</v>
      </c>
      <c r="B50" s="68">
        <v>45139</v>
      </c>
      <c r="C50" s="17">
        <f>(SUMIFS('MAIN DATA, Orders'!$I:$I,'MAIN DATA, Orders'!$C:$C,"Germany",'MAIN DATA, Orders'!$N:$N,"Einzelplan 14",'MAIN DATA, Orders'!$F:$F,"Fighter aircraft",'MAIN DATA, Orders'!$Q:$Q,$A50))</f>
        <v>0</v>
      </c>
      <c r="D50" s="17">
        <f>(SUMIFS('MAIN DATA, Orders'!$I:$I,'MAIN DATA, Orders'!$C:$C,"Germany",'MAIN DATA, Orders'!$N:$N,"Sondervermögen",'MAIN DATA, Orders'!$F:$F,"Fighter aircraft",'MAIN DATA, Orders'!$Q:$Q,$A50))</f>
        <v>0</v>
      </c>
      <c r="E50" s="17">
        <f>(SUMIFS('MAIN DATA, Orders'!$I:$I,'MAIN DATA, Orders'!$C:$C,"Germany",'MAIN DATA, Orders'!$N:$N,"Einzelplan 60",'MAIN DATA, Orders'!$F:$F,"Fighter aircraft",'MAIN DATA, Orders'!$Q:$Q,$A50))</f>
        <v>0</v>
      </c>
    </row>
    <row r="51" spans="1:5">
      <c r="A51" s="72">
        <v>45</v>
      </c>
      <c r="B51" s="68">
        <v>45170</v>
      </c>
      <c r="C51" s="17">
        <f>(SUMIFS('MAIN DATA, Orders'!$I:$I,'MAIN DATA, Orders'!$C:$C,"Germany",'MAIN DATA, Orders'!$N:$N,"Einzelplan 14",'MAIN DATA, Orders'!$F:$F,"Fighter aircraft",'MAIN DATA, Orders'!$Q:$Q,$A51))</f>
        <v>0</v>
      </c>
      <c r="D51" s="17">
        <f>(SUMIFS('MAIN DATA, Orders'!$I:$I,'MAIN DATA, Orders'!$C:$C,"Germany",'MAIN DATA, Orders'!$N:$N,"Sondervermögen",'MAIN DATA, Orders'!$F:$F,"Fighter aircraft",'MAIN DATA, Orders'!$Q:$Q,$A51))</f>
        <v>0</v>
      </c>
      <c r="E51" s="17">
        <f>(SUMIFS('MAIN DATA, Orders'!$I:$I,'MAIN DATA, Orders'!$C:$C,"Germany",'MAIN DATA, Orders'!$N:$N,"Einzelplan 60",'MAIN DATA, Orders'!$F:$F,"Fighter aircraft",'MAIN DATA, Orders'!$Q:$Q,$A51))</f>
        <v>0</v>
      </c>
    </row>
    <row r="52" spans="1:5">
      <c r="A52" s="72">
        <v>46</v>
      </c>
      <c r="B52" s="68">
        <v>45200</v>
      </c>
      <c r="C52" s="17">
        <f>(SUMIFS('MAIN DATA, Orders'!$I:$I,'MAIN DATA, Orders'!$C:$C,"Germany",'MAIN DATA, Orders'!$N:$N,"Einzelplan 14",'MAIN DATA, Orders'!$F:$F,"Fighter aircraft",'MAIN DATA, Orders'!$Q:$Q,$A52))</f>
        <v>0</v>
      </c>
      <c r="D52" s="17">
        <f>(SUMIFS('MAIN DATA, Orders'!$I:$I,'MAIN DATA, Orders'!$C:$C,"Germany",'MAIN DATA, Orders'!$N:$N,"Sondervermögen",'MAIN DATA, Orders'!$F:$F,"Fighter aircraft",'MAIN DATA, Orders'!$Q:$Q,$A52))</f>
        <v>0</v>
      </c>
      <c r="E52" s="17">
        <f>(SUMIFS('MAIN DATA, Orders'!$I:$I,'MAIN DATA, Orders'!$C:$C,"Germany",'MAIN DATA, Orders'!$N:$N,"Einzelplan 60",'MAIN DATA, Orders'!$F:$F,"Fighter aircraft",'MAIN DATA, Orders'!$Q:$Q,$A52))</f>
        <v>0</v>
      </c>
    </row>
    <row r="53" spans="1:5">
      <c r="A53" s="72">
        <v>47</v>
      </c>
      <c r="B53" s="68">
        <v>45231</v>
      </c>
      <c r="C53" s="17">
        <f>(SUMIFS('MAIN DATA, Orders'!$I:$I,'MAIN DATA, Orders'!$C:$C,"Germany",'MAIN DATA, Orders'!$N:$N,"Einzelplan 14",'MAIN DATA, Orders'!$F:$F,"Fighter aircraft",'MAIN DATA, Orders'!$Q:$Q,$A53))</f>
        <v>0</v>
      </c>
      <c r="D53" s="17">
        <f>(SUMIFS('MAIN DATA, Orders'!$I:$I,'MAIN DATA, Orders'!$C:$C,"Germany",'MAIN DATA, Orders'!$N:$N,"Sondervermögen",'MAIN DATA, Orders'!$F:$F,"Fighter aircraft",'MAIN DATA, Orders'!$Q:$Q,$A53))</f>
        <v>0</v>
      </c>
      <c r="E53" s="17">
        <f>(SUMIFS('MAIN DATA, Orders'!$I:$I,'MAIN DATA, Orders'!$C:$C,"Germany",'MAIN DATA, Orders'!$N:$N,"Einzelplan 60",'MAIN DATA, Orders'!$F:$F,"Fighter aircraft",'MAIN DATA, Orders'!$Q:$Q,$A53))</f>
        <v>0</v>
      </c>
    </row>
    <row r="54" spans="1:5">
      <c r="A54" s="72">
        <v>48</v>
      </c>
      <c r="B54" s="68">
        <v>45261</v>
      </c>
      <c r="C54" s="17">
        <f>(SUMIFS('MAIN DATA, Orders'!$I:$I,'MAIN DATA, Orders'!$C:$C,"Germany",'MAIN DATA, Orders'!$N:$N,"Einzelplan 14",'MAIN DATA, Orders'!$F:$F,"Fighter aircraft",'MAIN DATA, Orders'!$Q:$Q,$A54))</f>
        <v>0</v>
      </c>
      <c r="D54" s="17">
        <f>(SUMIFS('MAIN DATA, Orders'!$I:$I,'MAIN DATA, Orders'!$C:$C,"Germany",'MAIN DATA, Orders'!$N:$N,"Sondervermögen",'MAIN DATA, Orders'!$F:$F,"Fighter aircraft",'MAIN DATA, Orders'!$Q:$Q,$A54))</f>
        <v>0</v>
      </c>
      <c r="E54" s="17">
        <f>(SUMIFS('MAIN DATA, Orders'!$I:$I,'MAIN DATA, Orders'!$C:$C,"Germany",'MAIN DATA, Orders'!$N:$N,"Einzelplan 60",'MAIN DATA, Orders'!$F:$F,"Fighter aircraft",'MAIN DATA, Orders'!$Q:$Q,$A54))</f>
        <v>0</v>
      </c>
    </row>
    <row r="55" spans="1:5">
      <c r="A55" s="72">
        <v>49</v>
      </c>
      <c r="B55" s="68">
        <v>45292</v>
      </c>
      <c r="C55" s="17">
        <f>(SUMIFS('MAIN DATA, Orders'!$I:$I,'MAIN DATA, Orders'!$C:$C,"Germany",'MAIN DATA, Orders'!$N:$N,"Einzelplan 14",'MAIN DATA, Orders'!$F:$F,"Fighter aircraft",'MAIN DATA, Orders'!$Q:$Q,$A55))</f>
        <v>0</v>
      </c>
      <c r="D55" s="17">
        <f>(SUMIFS('MAIN DATA, Orders'!$I:$I,'MAIN DATA, Orders'!$C:$C,"Germany",'MAIN DATA, Orders'!$N:$N,"Sondervermögen",'MAIN DATA, Orders'!$F:$F,"Fighter aircraft",'MAIN DATA, Orders'!$Q:$Q,$A55))</f>
        <v>0</v>
      </c>
      <c r="E55" s="17">
        <f>(SUMIFS('MAIN DATA, Orders'!$I:$I,'MAIN DATA, Orders'!$C:$C,"Germany",'MAIN DATA, Orders'!$N:$N,"Einzelplan 60",'MAIN DATA, Orders'!$F:$F,"Fighter aircraft",'MAIN DATA, Orders'!$Q:$Q,$A55))</f>
        <v>0</v>
      </c>
    </row>
    <row r="56" spans="1:5">
      <c r="A56" s="72">
        <v>50</v>
      </c>
      <c r="B56" s="68">
        <v>45323</v>
      </c>
      <c r="C56" s="17">
        <f>(SUMIFS('MAIN DATA, Orders'!$I:$I,'MAIN DATA, Orders'!$C:$C,"Germany",'MAIN DATA, Orders'!$N:$N,"Einzelplan 14",'MAIN DATA, Orders'!$F:$F,"Fighter aircraft",'MAIN DATA, Orders'!$Q:$Q,$A56))</f>
        <v>0</v>
      </c>
      <c r="D56" s="17">
        <f>(SUMIFS('MAIN DATA, Orders'!$I:$I,'MAIN DATA, Orders'!$C:$C,"Germany",'MAIN DATA, Orders'!$N:$N,"Sondervermögen",'MAIN DATA, Orders'!$F:$F,"Fighter aircraft",'MAIN DATA, Orders'!$Q:$Q,$A56))</f>
        <v>0</v>
      </c>
      <c r="E56" s="17">
        <f>(SUMIFS('MAIN DATA, Orders'!$I:$I,'MAIN DATA, Orders'!$C:$C,"Germany",'MAIN DATA, Orders'!$N:$N,"Einzelplan 60",'MAIN DATA, Orders'!$F:$F,"Fighter aircraft",'MAIN DATA, Orders'!$Q:$Q,$A56))</f>
        <v>0</v>
      </c>
    </row>
    <row r="57" spans="1:5">
      <c r="A57" s="72">
        <v>51</v>
      </c>
      <c r="B57" s="68">
        <v>45352</v>
      </c>
      <c r="C57" s="17">
        <f>(SUMIFS('MAIN DATA, Orders'!$I:$I,'MAIN DATA, Orders'!$C:$C,"Germany",'MAIN DATA, Orders'!$N:$N,"Einzelplan 14",'MAIN DATA, Orders'!$F:$F,"Fighter aircraft",'MAIN DATA, Orders'!$Q:$Q,$A57))</f>
        <v>0</v>
      </c>
      <c r="D57" s="17">
        <f>(SUMIFS('MAIN DATA, Orders'!$I:$I,'MAIN DATA, Orders'!$C:$C,"Germany",'MAIN DATA, Orders'!$N:$N,"Sondervermögen",'MAIN DATA, Orders'!$F:$F,"Fighter aircraft",'MAIN DATA, Orders'!$Q:$Q,$A57))</f>
        <v>0</v>
      </c>
      <c r="E57" s="17">
        <f>(SUMIFS('MAIN DATA, Orders'!$I:$I,'MAIN DATA, Orders'!$C:$C,"Germany",'MAIN DATA, Orders'!$N:$N,"Einzelplan 60",'MAIN DATA, Orders'!$F:$F,"Fighter aircraft",'MAIN DATA, Orders'!$Q:$Q,$A57))</f>
        <v>0</v>
      </c>
    </row>
    <row r="58" spans="1:5">
      <c r="A58" s="72">
        <v>52</v>
      </c>
      <c r="B58" s="68">
        <v>45383</v>
      </c>
      <c r="C58" s="17">
        <f>(SUMIFS('MAIN DATA, Orders'!$I:$I,'MAIN DATA, Orders'!$C:$C,"Germany",'MAIN DATA, Orders'!$N:$N,"Einzelplan 14",'MAIN DATA, Orders'!$F:$F,"Fighter aircraft",'MAIN DATA, Orders'!$Q:$Q,$A58))</f>
        <v>0</v>
      </c>
      <c r="D58" s="17">
        <f>(SUMIFS('MAIN DATA, Orders'!$I:$I,'MAIN DATA, Orders'!$C:$C,"Germany",'MAIN DATA, Orders'!$N:$N,"Sondervermögen",'MAIN DATA, Orders'!$F:$F,"Fighter aircraft",'MAIN DATA, Orders'!$Q:$Q,$A58))</f>
        <v>0</v>
      </c>
      <c r="E58" s="17">
        <f>(SUMIFS('MAIN DATA, Orders'!$I:$I,'MAIN DATA, Orders'!$C:$C,"Germany",'MAIN DATA, Orders'!$N:$N,"Einzelplan 60",'MAIN DATA, Orders'!$F:$F,"Fighter aircraft",'MAIN DATA, Orders'!$Q:$Q,$A58))</f>
        <v>0</v>
      </c>
    </row>
    <row r="59" spans="1:5">
      <c r="A59" s="72">
        <v>53</v>
      </c>
      <c r="B59" s="68">
        <v>45413</v>
      </c>
      <c r="C59" s="17">
        <f>(SUMIFS('MAIN DATA, Orders'!$I:$I,'MAIN DATA, Orders'!$C:$C,"Germany",'MAIN DATA, Orders'!$N:$N,"Einzelplan 14",'MAIN DATA, Orders'!$F:$F,"Fighter aircraft",'MAIN DATA, Orders'!$Q:$Q,$A59))</f>
        <v>0</v>
      </c>
      <c r="D59" s="17">
        <f>(SUMIFS('MAIN DATA, Orders'!$I:$I,'MAIN DATA, Orders'!$C:$C,"Germany",'MAIN DATA, Orders'!$N:$N,"Sondervermögen",'MAIN DATA, Orders'!$F:$F,"Fighter aircraft",'MAIN DATA, Orders'!$Q:$Q,$A59))</f>
        <v>0</v>
      </c>
      <c r="E59" s="17">
        <f>(SUMIFS('MAIN DATA, Orders'!$I:$I,'MAIN DATA, Orders'!$C:$C,"Germany",'MAIN DATA, Orders'!$N:$N,"Einzelplan 60",'MAIN DATA, Orders'!$F:$F,"Fighter aircraft",'MAIN DATA, Orders'!$Q:$Q,$A59))</f>
        <v>0</v>
      </c>
    </row>
    <row r="60" spans="1:5">
      <c r="A60" s="72">
        <v>54</v>
      </c>
      <c r="B60" s="68">
        <v>45444</v>
      </c>
      <c r="C60" s="17">
        <f>(SUMIFS('MAIN DATA, Orders'!$I:$I,'MAIN DATA, Orders'!$C:$C,"Germany",'MAIN DATA, Orders'!$N:$N,"Einzelplan 14",'MAIN DATA, Orders'!$F:$F,"Fighter aircraft",'MAIN DATA, Orders'!$Q:$Q,$A60))</f>
        <v>0</v>
      </c>
      <c r="D60" s="17">
        <f>(SUMIFS('MAIN DATA, Orders'!$I:$I,'MAIN DATA, Orders'!$C:$C,"Germany",'MAIN DATA, Orders'!$N:$N,"Sondervermögen",'MAIN DATA, Orders'!$F:$F,"Fighter aircraft",'MAIN DATA, Orders'!$Q:$Q,$A60))</f>
        <v>0</v>
      </c>
      <c r="E60" s="17">
        <f>(SUMIFS('MAIN DATA, Orders'!$I:$I,'MAIN DATA, Orders'!$C:$C,"Germany",'MAIN DATA, Orders'!$N:$N,"Einzelplan 60",'MAIN DATA, Orders'!$F:$F,"Fighter aircraft",'MAIN DATA, Orders'!$Q:$Q,$A60))</f>
        <v>0</v>
      </c>
    </row>
    <row r="61" spans="1:5">
      <c r="A61" s="72">
        <v>55</v>
      </c>
      <c r="B61" s="155">
        <v>45474</v>
      </c>
      <c r="C61" s="60">
        <f>(SUMIFS('MAIN DATA, Orders'!$I:$I,'MAIN DATA, Orders'!$C:$C,"Germany",'MAIN DATA, Orders'!$N:$N,"Einzelplan 14",'MAIN DATA, Orders'!$F:$F,"Fighter aircraft",'MAIN DATA, Orders'!$Q:$Q,$A61))</f>
        <v>0</v>
      </c>
      <c r="D61" s="60">
        <f>(SUMIFS('MAIN DATA, Orders'!$I:$I,'MAIN DATA, Orders'!$C:$C,"Germany",'MAIN DATA, Orders'!$N:$N,"Sondervermögen",'MAIN DATA, Orders'!$F:$F,"Fighter aircraft",'MAIN DATA, Orders'!$Q:$Q,$A61))</f>
        <v>0</v>
      </c>
      <c r="E61" s="60">
        <f>(SUMIFS('MAIN DATA, Orders'!$I:$I,'MAIN DATA, Orders'!$C:$C,"Germany",'MAIN DATA, Orders'!$N:$N,"Einzelplan 60",'MAIN DATA, Orders'!$F:$F,"Fighter aircraft",'MAIN DATA, Orders'!$Q:$Q,$A61))</f>
        <v>0</v>
      </c>
    </row>
    <row r="62" spans="1:5">
      <c r="A62" s="199"/>
      <c r="B62" s="199"/>
      <c r="C62" s="199"/>
      <c r="D62" s="199"/>
      <c r="E62" s="199"/>
    </row>
    <row r="63" spans="1:5">
      <c r="A63" s="199"/>
      <c r="B63" s="71" t="s">
        <v>1431</v>
      </c>
      <c r="C63" s="71">
        <f>SUM(C7:C61)</f>
        <v>38</v>
      </c>
      <c r="D63" s="71">
        <f>SUM(D7:D61)</f>
        <v>35</v>
      </c>
      <c r="E63" s="71">
        <f>SUM(E7:E61)</f>
        <v>0</v>
      </c>
    </row>
  </sheetData>
  <mergeCells count="1">
    <mergeCell ref="B4:F4"/>
  </mergeCell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A2B85-7AAA-4CA6-A7E6-B341D9F2C7BC}">
  <sheetPr>
    <tabColor theme="9" tint="0.59999389629810485"/>
  </sheetPr>
  <dimension ref="A2:G63"/>
  <sheetViews>
    <sheetView workbookViewId="0"/>
  </sheetViews>
  <sheetFormatPr defaultColWidth="8.69921875" defaultRowHeight="15.6"/>
  <cols>
    <col min="1" max="1" width="8.69921875" style="1"/>
    <col min="2" max="2" width="13.5" style="1" customWidth="1"/>
    <col min="3" max="3" width="15.3984375" style="1" bestFit="1" customWidth="1"/>
    <col min="4" max="4" width="20.59765625" style="1" bestFit="1" customWidth="1"/>
    <col min="5" max="16384" width="8.69921875" style="1"/>
  </cols>
  <sheetData>
    <row r="2" spans="1:7" ht="25.2">
      <c r="B2" s="67" t="s">
        <v>1687</v>
      </c>
    </row>
    <row r="4" spans="1:7" ht="130.19999999999999" customHeight="1">
      <c r="B4" s="206" t="s">
        <v>1688</v>
      </c>
      <c r="C4" s="214"/>
      <c r="D4" s="214"/>
      <c r="E4" s="214"/>
      <c r="F4" s="214"/>
      <c r="G4" s="214"/>
    </row>
    <row r="6" spans="1:7" ht="21" customHeight="1">
      <c r="A6" s="199"/>
      <c r="B6" s="161" t="s">
        <v>1404</v>
      </c>
      <c r="C6" s="162" t="s">
        <v>1617</v>
      </c>
      <c r="D6" s="162" t="s">
        <v>1571</v>
      </c>
    </row>
    <row r="7" spans="1:7">
      <c r="A7" s="72">
        <v>1</v>
      </c>
      <c r="B7" s="68">
        <v>43831</v>
      </c>
      <c r="C7" s="61">
        <f>(SUMIFS('MAIN DATA, Orders'!$M:$M,'MAIN DATA, Orders'!$C:$C,"Germany",'MAIN DATA, Orders'!$G:$G,"Aircraft",'MAIN DATA, Orders'!$Q:$Q,$A7)/1000000000)</f>
        <v>0</v>
      </c>
      <c r="D7" s="61">
        <f>(SUMIFS('MAIN DATA, Orders'!$M:$M,'MAIN DATA, Orders'!$C:$C,"Germany",'MAIN DATA, Orders'!$G:$G,"Development - Aircraft",'MAIN DATA, Orders'!$Q:$Q,$A7)/1000000000)</f>
        <v>0</v>
      </c>
    </row>
    <row r="8" spans="1:7">
      <c r="A8" s="72">
        <v>2</v>
      </c>
      <c r="B8" s="68">
        <v>43862</v>
      </c>
      <c r="C8" s="61">
        <f>(SUMIFS('MAIN DATA, Orders'!$M:$M,'MAIN DATA, Orders'!$C:$C,"Germany",'MAIN DATA, Orders'!$G:$G,"Aircraft",'MAIN DATA, Orders'!$Q:$Q,$A8)/1000000000)</f>
        <v>0</v>
      </c>
      <c r="D8" s="61">
        <f>(SUMIFS('MAIN DATA, Orders'!$M:$M,'MAIN DATA, Orders'!$C:$C,"Germany",'MAIN DATA, Orders'!$G:$G,"Development - Aircraft",'MAIN DATA, Orders'!$Q:$Q,$A8)/1000000000)</f>
        <v>0</v>
      </c>
    </row>
    <row r="9" spans="1:7">
      <c r="A9" s="72">
        <v>3</v>
      </c>
      <c r="B9" s="68">
        <v>43891</v>
      </c>
      <c r="C9" s="61">
        <f>(SUMIFS('MAIN DATA, Orders'!$M:$M,'MAIN DATA, Orders'!$C:$C,"Germany",'MAIN DATA, Orders'!$G:$G,"Aircraft",'MAIN DATA, Orders'!$Q:$Q,$A9)/1000000000)</f>
        <v>0</v>
      </c>
      <c r="D9" s="61">
        <f>(SUMIFS('MAIN DATA, Orders'!$M:$M,'MAIN DATA, Orders'!$C:$C,"Germany",'MAIN DATA, Orders'!$G:$G,"Development - Aircraft",'MAIN DATA, Orders'!$Q:$Q,$A9)/1000000000)</f>
        <v>0</v>
      </c>
    </row>
    <row r="10" spans="1:7">
      <c r="A10" s="72">
        <v>4</v>
      </c>
      <c r="B10" s="68">
        <v>43922</v>
      </c>
      <c r="C10" s="61">
        <f>(SUMIFS('MAIN DATA, Orders'!$M:$M,'MAIN DATA, Orders'!$C:$C,"Germany",'MAIN DATA, Orders'!$G:$G,"Aircraft",'MAIN DATA, Orders'!$Q:$Q,$A10)/1000000000)</f>
        <v>0</v>
      </c>
      <c r="D10" s="61">
        <f>(SUMIFS('MAIN DATA, Orders'!$M:$M,'MAIN DATA, Orders'!$C:$C,"Germany",'MAIN DATA, Orders'!$G:$G,"Development - Aircraft",'MAIN DATA, Orders'!$Q:$Q,$A10)/1000000000)</f>
        <v>0</v>
      </c>
    </row>
    <row r="11" spans="1:7">
      <c r="A11" s="72">
        <v>5</v>
      </c>
      <c r="B11" s="68">
        <v>43952</v>
      </c>
      <c r="C11" s="61">
        <f>(SUMIFS('MAIN DATA, Orders'!$M:$M,'MAIN DATA, Orders'!$C:$C,"Germany",'MAIN DATA, Orders'!$G:$G,"Aircraft",'MAIN DATA, Orders'!$Q:$Q,$A11)/1000000000)</f>
        <v>0</v>
      </c>
      <c r="D11" s="61">
        <f>(SUMIFS('MAIN DATA, Orders'!$M:$M,'MAIN DATA, Orders'!$C:$C,"Germany",'MAIN DATA, Orders'!$G:$G,"Development - Aircraft",'MAIN DATA, Orders'!$Q:$Q,$A11)/1000000000)</f>
        <v>0</v>
      </c>
    </row>
    <row r="12" spans="1:7">
      <c r="A12" s="72">
        <v>6</v>
      </c>
      <c r="B12" s="68">
        <v>43983</v>
      </c>
      <c r="C12" s="61">
        <f>(SUMIFS('MAIN DATA, Orders'!$M:$M,'MAIN DATA, Orders'!$C:$C,"Germany",'MAIN DATA, Orders'!$G:$G,"Aircraft",'MAIN DATA, Orders'!$Q:$Q,$A12)/1000000000)</f>
        <v>2.8</v>
      </c>
      <c r="D12" s="61">
        <f>(SUMIFS('MAIN DATA, Orders'!$M:$M,'MAIN DATA, Orders'!$C:$C,"Germany",'MAIN DATA, Orders'!$G:$G,"Development - Aircraft",'MAIN DATA, Orders'!$Q:$Q,$A12)/1000000000)</f>
        <v>0</v>
      </c>
    </row>
    <row r="13" spans="1:7">
      <c r="A13" s="72">
        <v>7</v>
      </c>
      <c r="B13" s="68">
        <v>44013</v>
      </c>
      <c r="C13" s="61">
        <f>(SUMIFS('MAIN DATA, Orders'!$M:$M,'MAIN DATA, Orders'!$C:$C,"Germany",'MAIN DATA, Orders'!$G:$G,"Aircraft",'MAIN DATA, Orders'!$Q:$Q,$A13)/1000000000)</f>
        <v>0</v>
      </c>
      <c r="D13" s="61">
        <f>(SUMIFS('MAIN DATA, Orders'!$M:$M,'MAIN DATA, Orders'!$C:$C,"Germany",'MAIN DATA, Orders'!$G:$G,"Development - Aircraft",'MAIN DATA, Orders'!$Q:$Q,$A13)/1000000000)</f>
        <v>0</v>
      </c>
    </row>
    <row r="14" spans="1:7">
      <c r="A14" s="72">
        <v>8</v>
      </c>
      <c r="B14" s="68">
        <v>44044</v>
      </c>
      <c r="C14" s="61">
        <f>(SUMIFS('MAIN DATA, Orders'!$M:$M,'MAIN DATA, Orders'!$C:$C,"Germany",'MAIN DATA, Orders'!$G:$G,"Aircraft",'MAIN DATA, Orders'!$Q:$Q,$A14)/1000000000)</f>
        <v>0</v>
      </c>
      <c r="D14" s="61">
        <f>(SUMIFS('MAIN DATA, Orders'!$M:$M,'MAIN DATA, Orders'!$C:$C,"Germany",'MAIN DATA, Orders'!$G:$G,"Development - Aircraft",'MAIN DATA, Orders'!$Q:$Q,$A14)/1000000000)</f>
        <v>0</v>
      </c>
    </row>
    <row r="15" spans="1:7">
      <c r="A15" s="72">
        <v>9</v>
      </c>
      <c r="B15" s="68">
        <v>44075</v>
      </c>
      <c r="C15" s="61">
        <f>(SUMIFS('MAIN DATA, Orders'!$M:$M,'MAIN DATA, Orders'!$C:$C,"Germany",'MAIN DATA, Orders'!$G:$G,"Aircraft",'MAIN DATA, Orders'!$Q:$Q,$A15)/1000000000)</f>
        <v>0.21299999999999999</v>
      </c>
      <c r="D15" s="61">
        <f>(SUMIFS('MAIN DATA, Orders'!$M:$M,'MAIN DATA, Orders'!$C:$C,"Germany",'MAIN DATA, Orders'!$G:$G,"Development - Aircraft",'MAIN DATA, Orders'!$Q:$Q,$A15)/1000000000)</f>
        <v>0</v>
      </c>
    </row>
    <row r="16" spans="1:7">
      <c r="A16" s="72">
        <v>10</v>
      </c>
      <c r="B16" s="68">
        <v>44105</v>
      </c>
      <c r="C16" s="61">
        <f>(SUMIFS('MAIN DATA, Orders'!$M:$M,'MAIN DATA, Orders'!$C:$C,"Germany",'MAIN DATA, Orders'!$G:$G,"Aircraft",'MAIN DATA, Orders'!$Q:$Q,$A16)/1000000000)</f>
        <v>0</v>
      </c>
      <c r="D16" s="61">
        <f>(SUMIFS('MAIN DATA, Orders'!$M:$M,'MAIN DATA, Orders'!$C:$C,"Germany",'MAIN DATA, Orders'!$G:$G,"Development - Aircraft",'MAIN DATA, Orders'!$Q:$Q,$A16)/1000000000)</f>
        <v>0</v>
      </c>
    </row>
    <row r="17" spans="1:4">
      <c r="A17" s="72">
        <v>11</v>
      </c>
      <c r="B17" s="68">
        <v>44136</v>
      </c>
      <c r="C17" s="61">
        <f>(SUMIFS('MAIN DATA, Orders'!$M:$M,'MAIN DATA, Orders'!$C:$C,"Germany",'MAIN DATA, Orders'!$G:$G,"Aircraft",'MAIN DATA, Orders'!$Q:$Q,$A17)/1000000000)</f>
        <v>5.5</v>
      </c>
      <c r="D17" s="61">
        <f>(SUMIFS('MAIN DATA, Orders'!$M:$M,'MAIN DATA, Orders'!$C:$C,"Germany",'MAIN DATA, Orders'!$G:$G,"Development - Aircraft",'MAIN DATA, Orders'!$Q:$Q,$A17)/1000000000)</f>
        <v>0</v>
      </c>
    </row>
    <row r="18" spans="1:4">
      <c r="A18" s="72">
        <v>12</v>
      </c>
      <c r="B18" s="68">
        <v>44166</v>
      </c>
      <c r="C18" s="61">
        <f>(SUMIFS('MAIN DATA, Orders'!$M:$M,'MAIN DATA, Orders'!$C:$C,"Germany",'MAIN DATA, Orders'!$G:$G,"Aircraft",'MAIN DATA, Orders'!$Q:$Q,$A18)/1000000000)</f>
        <v>0</v>
      </c>
      <c r="D18" s="61">
        <f>(SUMIFS('MAIN DATA, Orders'!$M:$M,'MAIN DATA, Orders'!$C:$C,"Germany",'MAIN DATA, Orders'!$G:$G,"Development - Aircraft",'MAIN DATA, Orders'!$Q:$Q,$A18)/1000000000)</f>
        <v>0</v>
      </c>
    </row>
    <row r="19" spans="1:4">
      <c r="A19" s="72">
        <v>13</v>
      </c>
      <c r="B19" s="68">
        <v>44197</v>
      </c>
      <c r="C19" s="61">
        <f>(SUMIFS('MAIN DATA, Orders'!$M:$M,'MAIN DATA, Orders'!$C:$C,"Germany",'MAIN DATA, Orders'!$G:$G,"Aircraft",'MAIN DATA, Orders'!$Q:$Q,$A19)/1000000000)</f>
        <v>0</v>
      </c>
      <c r="D19" s="61">
        <f>(SUMIFS('MAIN DATA, Orders'!$M:$M,'MAIN DATA, Orders'!$C:$C,"Germany",'MAIN DATA, Orders'!$G:$G,"Development - Aircraft",'MAIN DATA, Orders'!$Q:$Q,$A19)/1000000000)</f>
        <v>0</v>
      </c>
    </row>
    <row r="20" spans="1:4">
      <c r="A20" s="72">
        <v>14</v>
      </c>
      <c r="B20" s="68">
        <v>44228</v>
      </c>
      <c r="C20" s="61">
        <f>(SUMIFS('MAIN DATA, Orders'!$M:$M,'MAIN DATA, Orders'!$C:$C,"Germany",'MAIN DATA, Orders'!$G:$G,"Aircraft",'MAIN DATA, Orders'!$Q:$Q,$A20)/1000000000)</f>
        <v>0</v>
      </c>
      <c r="D20" s="61">
        <f>(SUMIFS('MAIN DATA, Orders'!$M:$M,'MAIN DATA, Orders'!$C:$C,"Germany",'MAIN DATA, Orders'!$G:$G,"Development - Aircraft",'MAIN DATA, Orders'!$Q:$Q,$A20)/1000000000)</f>
        <v>0</v>
      </c>
    </row>
    <row r="21" spans="1:4">
      <c r="A21" s="72">
        <v>15</v>
      </c>
      <c r="B21" s="68">
        <v>44256</v>
      </c>
      <c r="C21" s="61">
        <f>(SUMIFS('MAIN DATA, Orders'!$M:$M,'MAIN DATA, Orders'!$C:$C,"Germany",'MAIN DATA, Orders'!$G:$G,"Aircraft",'MAIN DATA, Orders'!$Q:$Q,$A21)/1000000000)</f>
        <v>0</v>
      </c>
      <c r="D21" s="61">
        <f>(SUMIFS('MAIN DATA, Orders'!$M:$M,'MAIN DATA, Orders'!$C:$C,"Germany",'MAIN DATA, Orders'!$G:$G,"Development - Aircraft",'MAIN DATA, Orders'!$Q:$Q,$A21)/1000000000)</f>
        <v>0</v>
      </c>
    </row>
    <row r="22" spans="1:4">
      <c r="A22" s="72">
        <v>16</v>
      </c>
      <c r="B22" s="68">
        <v>44287</v>
      </c>
      <c r="C22" s="61">
        <f>(SUMIFS('MAIN DATA, Orders'!$M:$M,'MAIN DATA, Orders'!$C:$C,"Germany",'MAIN DATA, Orders'!$G:$G,"Aircraft",'MAIN DATA, Orders'!$Q:$Q,$A22)/1000000000)</f>
        <v>0.105</v>
      </c>
      <c r="D22" s="61">
        <f>(SUMIFS('MAIN DATA, Orders'!$M:$M,'MAIN DATA, Orders'!$C:$C,"Germany",'MAIN DATA, Orders'!$G:$G,"Development - Aircraft",'MAIN DATA, Orders'!$Q:$Q,$A22)/1000000000)</f>
        <v>0</v>
      </c>
    </row>
    <row r="23" spans="1:4">
      <c r="A23" s="72">
        <v>17</v>
      </c>
      <c r="B23" s="68">
        <v>44317</v>
      </c>
      <c r="C23" s="61">
        <f>(SUMIFS('MAIN DATA, Orders'!$M:$M,'MAIN DATA, Orders'!$C:$C,"Germany",'MAIN DATA, Orders'!$G:$G,"Aircraft",'MAIN DATA, Orders'!$Q:$Q,$A23)/1000000000)</f>
        <v>0</v>
      </c>
      <c r="D23" s="61">
        <f>(SUMIFS('MAIN DATA, Orders'!$M:$M,'MAIN DATA, Orders'!$C:$C,"Germany",'MAIN DATA, Orders'!$G:$G,"Development - Aircraft",'MAIN DATA, Orders'!$Q:$Q,$A23)/1000000000)</f>
        <v>0</v>
      </c>
    </row>
    <row r="24" spans="1:4">
      <c r="A24" s="72">
        <v>18</v>
      </c>
      <c r="B24" s="68">
        <v>44348</v>
      </c>
      <c r="C24" s="61">
        <f>(SUMIFS('MAIN DATA, Orders'!$M:$M,'MAIN DATA, Orders'!$C:$C,"Germany",'MAIN DATA, Orders'!$G:$G,"Aircraft",'MAIN DATA, Orders'!$Q:$Q,$A24)/1000000000)</f>
        <v>1.8129999999999999</v>
      </c>
      <c r="D24" s="61">
        <f>(SUMIFS('MAIN DATA, Orders'!$M:$M,'MAIN DATA, Orders'!$C:$C,"Germany",'MAIN DATA, Orders'!$G:$G,"Development - Aircraft",'MAIN DATA, Orders'!$Q:$Q,$A24)/1000000000)</f>
        <v>4.4000000000000004</v>
      </c>
    </row>
    <row r="25" spans="1:4">
      <c r="A25" s="72">
        <v>19</v>
      </c>
      <c r="B25" s="68">
        <v>44378</v>
      </c>
      <c r="C25" s="61">
        <f>(SUMIFS('MAIN DATA, Orders'!$M:$M,'MAIN DATA, Orders'!$C:$C,"Germany",'MAIN DATA, Orders'!$G:$G,"Aircraft",'MAIN DATA, Orders'!$Q:$Q,$A25)/1000000000)</f>
        <v>0</v>
      </c>
      <c r="D25" s="61">
        <f>(SUMIFS('MAIN DATA, Orders'!$M:$M,'MAIN DATA, Orders'!$C:$C,"Germany",'MAIN DATA, Orders'!$G:$G,"Development - Aircraft",'MAIN DATA, Orders'!$Q:$Q,$A25)/1000000000)</f>
        <v>0</v>
      </c>
    </row>
    <row r="26" spans="1:4">
      <c r="A26" s="72">
        <v>20</v>
      </c>
      <c r="B26" s="68">
        <v>44409</v>
      </c>
      <c r="C26" s="61">
        <f>(SUMIFS('MAIN DATA, Orders'!$M:$M,'MAIN DATA, Orders'!$C:$C,"Germany",'MAIN DATA, Orders'!$G:$G,"Aircraft",'MAIN DATA, Orders'!$Q:$Q,$A26)/1000000000)</f>
        <v>0</v>
      </c>
      <c r="D26" s="61">
        <f>(SUMIFS('MAIN DATA, Orders'!$M:$M,'MAIN DATA, Orders'!$C:$C,"Germany",'MAIN DATA, Orders'!$G:$G,"Development - Aircraft",'MAIN DATA, Orders'!$Q:$Q,$A26)/1000000000)</f>
        <v>0</v>
      </c>
    </row>
    <row r="27" spans="1:4">
      <c r="A27" s="72">
        <v>21</v>
      </c>
      <c r="B27" s="68">
        <v>44440</v>
      </c>
      <c r="C27" s="61">
        <f>(SUMIFS('MAIN DATA, Orders'!$M:$M,'MAIN DATA, Orders'!$C:$C,"Germany",'MAIN DATA, Orders'!$G:$G,"Aircraft",'MAIN DATA, Orders'!$Q:$Q,$A27)/1000000000)</f>
        <v>0</v>
      </c>
      <c r="D27" s="61">
        <f>(SUMIFS('MAIN DATA, Orders'!$M:$M,'MAIN DATA, Orders'!$C:$C,"Germany",'MAIN DATA, Orders'!$G:$G,"Development - Aircraft",'MAIN DATA, Orders'!$Q:$Q,$A27)/1000000000)</f>
        <v>0</v>
      </c>
    </row>
    <row r="28" spans="1:4">
      <c r="A28" s="72">
        <v>22</v>
      </c>
      <c r="B28" s="68">
        <v>44470</v>
      </c>
      <c r="C28" s="61">
        <f>(SUMIFS('MAIN DATA, Orders'!$M:$M,'MAIN DATA, Orders'!$C:$C,"Germany",'MAIN DATA, Orders'!$G:$G,"Aircraft",'MAIN DATA, Orders'!$Q:$Q,$A28)/1000000000)</f>
        <v>0</v>
      </c>
      <c r="D28" s="61">
        <f>(SUMIFS('MAIN DATA, Orders'!$M:$M,'MAIN DATA, Orders'!$C:$C,"Germany",'MAIN DATA, Orders'!$G:$G,"Development - Aircraft",'MAIN DATA, Orders'!$Q:$Q,$A28)/1000000000)</f>
        <v>0</v>
      </c>
    </row>
    <row r="29" spans="1:4">
      <c r="A29" s="72">
        <v>23</v>
      </c>
      <c r="B29" s="68">
        <v>44501</v>
      </c>
      <c r="C29" s="61">
        <f>(SUMIFS('MAIN DATA, Orders'!$M:$M,'MAIN DATA, Orders'!$C:$C,"Germany",'MAIN DATA, Orders'!$G:$G,"Aircraft",'MAIN DATA, Orders'!$Q:$Q,$A29)/1000000000)</f>
        <v>0</v>
      </c>
      <c r="D29" s="61">
        <f>(SUMIFS('MAIN DATA, Orders'!$M:$M,'MAIN DATA, Orders'!$C:$C,"Germany",'MAIN DATA, Orders'!$G:$G,"Development - Aircraft",'MAIN DATA, Orders'!$Q:$Q,$A29)/1000000000)</f>
        <v>0</v>
      </c>
    </row>
    <row r="30" spans="1:4">
      <c r="A30" s="72">
        <v>24</v>
      </c>
      <c r="B30" s="68">
        <v>44531</v>
      </c>
      <c r="C30" s="61">
        <f>(SUMIFS('MAIN DATA, Orders'!$M:$M,'MAIN DATA, Orders'!$C:$C,"Germany",'MAIN DATA, Orders'!$G:$G,"Aircraft",'MAIN DATA, Orders'!$Q:$Q,$A30)/1000000000)</f>
        <v>0</v>
      </c>
      <c r="D30" s="61">
        <f>(SUMIFS('MAIN DATA, Orders'!$M:$M,'MAIN DATA, Orders'!$C:$C,"Germany",'MAIN DATA, Orders'!$G:$G,"Development - Aircraft",'MAIN DATA, Orders'!$Q:$Q,$A30)/1000000000)</f>
        <v>0</v>
      </c>
    </row>
    <row r="31" spans="1:4">
      <c r="A31" s="72">
        <v>25</v>
      </c>
      <c r="B31" s="68">
        <v>44562</v>
      </c>
      <c r="C31" s="61">
        <f>(SUMIFS('MAIN DATA, Orders'!$M:$M,'MAIN DATA, Orders'!$C:$C,"Germany",'MAIN DATA, Orders'!$G:$G,"Aircraft",'MAIN DATA, Orders'!$Q:$Q,$A31)/1000000000)</f>
        <v>0</v>
      </c>
      <c r="D31" s="61">
        <f>(SUMIFS('MAIN DATA, Orders'!$M:$M,'MAIN DATA, Orders'!$C:$C,"Germany",'MAIN DATA, Orders'!$G:$G,"Development - Aircraft",'MAIN DATA, Orders'!$Q:$Q,$A31)/1000000000)</f>
        <v>0</v>
      </c>
    </row>
    <row r="32" spans="1:4">
      <c r="A32" s="72">
        <v>26</v>
      </c>
      <c r="B32" s="68">
        <v>44593</v>
      </c>
      <c r="C32" s="61">
        <f>(SUMIFS('MAIN DATA, Orders'!$M:$M,'MAIN DATA, Orders'!$C:$C,"Germany",'MAIN DATA, Orders'!$G:$G,"Aircraft",'MAIN DATA, Orders'!$Q:$Q,$A32)/1000000000)</f>
        <v>0</v>
      </c>
      <c r="D32" s="61">
        <f>(SUMIFS('MAIN DATA, Orders'!$M:$M,'MAIN DATA, Orders'!$C:$C,"Germany",'MAIN DATA, Orders'!$G:$G,"Development - Aircraft",'MAIN DATA, Orders'!$Q:$Q,$A32)/1000000000)</f>
        <v>0</v>
      </c>
    </row>
    <row r="33" spans="1:4">
      <c r="A33" s="72">
        <v>27</v>
      </c>
      <c r="B33" s="68">
        <v>44621</v>
      </c>
      <c r="C33" s="61">
        <f>(SUMIFS('MAIN DATA, Orders'!$M:$M,'MAIN DATA, Orders'!$C:$C,"Germany",'MAIN DATA, Orders'!$G:$G,"Aircraft",'MAIN DATA, Orders'!$Q:$Q,$A33)/1000000000)</f>
        <v>0</v>
      </c>
      <c r="D33" s="61">
        <f>(SUMIFS('MAIN DATA, Orders'!$M:$M,'MAIN DATA, Orders'!$C:$C,"Germany",'MAIN DATA, Orders'!$G:$G,"Development - Aircraft",'MAIN DATA, Orders'!$Q:$Q,$A33)/1000000000)</f>
        <v>0</v>
      </c>
    </row>
    <row r="34" spans="1:4">
      <c r="A34" s="72">
        <v>28</v>
      </c>
      <c r="B34" s="68">
        <v>44652</v>
      </c>
      <c r="C34" s="61">
        <f>(SUMIFS('MAIN DATA, Orders'!$M:$M,'MAIN DATA, Orders'!$C:$C,"Germany",'MAIN DATA, Orders'!$G:$G,"Aircraft",'MAIN DATA, Orders'!$Q:$Q,$A34)/1000000000)</f>
        <v>0</v>
      </c>
      <c r="D34" s="61">
        <f>(SUMIFS('MAIN DATA, Orders'!$M:$M,'MAIN DATA, Orders'!$C:$C,"Germany",'MAIN DATA, Orders'!$G:$G,"Development - Aircraft",'MAIN DATA, Orders'!$Q:$Q,$A34)/1000000000)</f>
        <v>0</v>
      </c>
    </row>
    <row r="35" spans="1:4">
      <c r="A35" s="72">
        <v>29</v>
      </c>
      <c r="B35" s="68">
        <v>44682</v>
      </c>
      <c r="C35" s="61">
        <f>(SUMIFS('MAIN DATA, Orders'!$M:$M,'MAIN DATA, Orders'!$C:$C,"Germany",'MAIN DATA, Orders'!$G:$G,"Aircraft",'MAIN DATA, Orders'!$Q:$Q,$A35)/1000000000)</f>
        <v>0</v>
      </c>
      <c r="D35" s="61">
        <f>(SUMIFS('MAIN DATA, Orders'!$M:$M,'MAIN DATA, Orders'!$C:$C,"Germany",'MAIN DATA, Orders'!$G:$G,"Development - Aircraft",'MAIN DATA, Orders'!$Q:$Q,$A35)/1000000000)</f>
        <v>0</v>
      </c>
    </row>
    <row r="36" spans="1:4">
      <c r="A36" s="72">
        <v>30</v>
      </c>
      <c r="B36" s="68">
        <v>44713</v>
      </c>
      <c r="C36" s="61">
        <f>(SUMIFS('MAIN DATA, Orders'!$M:$M,'MAIN DATA, Orders'!$C:$C,"Germany",'MAIN DATA, Orders'!$G:$G,"Aircraft",'MAIN DATA, Orders'!$Q:$Q,$A36)/1000000000)</f>
        <v>0</v>
      </c>
      <c r="D36" s="61">
        <f>(SUMIFS('MAIN DATA, Orders'!$M:$M,'MAIN DATA, Orders'!$C:$C,"Germany",'MAIN DATA, Orders'!$G:$G,"Development - Aircraft",'MAIN DATA, Orders'!$Q:$Q,$A36)/1000000000)</f>
        <v>0</v>
      </c>
    </row>
    <row r="37" spans="1:4">
      <c r="A37" s="72">
        <v>31</v>
      </c>
      <c r="B37" s="68">
        <v>44743</v>
      </c>
      <c r="C37" s="61">
        <f>(SUMIFS('MAIN DATA, Orders'!$M:$M,'MAIN DATA, Orders'!$C:$C,"Germany",'MAIN DATA, Orders'!$G:$G,"Aircraft",'MAIN DATA, Orders'!$Q:$Q,$A37)/1000000000)</f>
        <v>0</v>
      </c>
      <c r="D37" s="61">
        <f>(SUMIFS('MAIN DATA, Orders'!$M:$M,'MAIN DATA, Orders'!$C:$C,"Germany",'MAIN DATA, Orders'!$G:$G,"Development - Aircraft",'MAIN DATA, Orders'!$Q:$Q,$A37)/1000000000)</f>
        <v>0.24199999999999999</v>
      </c>
    </row>
    <row r="38" spans="1:4">
      <c r="A38" s="72">
        <v>32</v>
      </c>
      <c r="B38" s="68">
        <v>44774</v>
      </c>
      <c r="C38" s="61">
        <f>(SUMIFS('MAIN DATA, Orders'!$M:$M,'MAIN DATA, Orders'!$C:$C,"Germany",'MAIN DATA, Orders'!$G:$G,"Aircraft",'MAIN DATA, Orders'!$Q:$Q,$A38)/1000000000)</f>
        <v>0</v>
      </c>
      <c r="D38" s="61">
        <f>(SUMIFS('MAIN DATA, Orders'!$M:$M,'MAIN DATA, Orders'!$C:$C,"Germany",'MAIN DATA, Orders'!$G:$G,"Development - Aircraft",'MAIN DATA, Orders'!$Q:$Q,$A38)/1000000000)</f>
        <v>0</v>
      </c>
    </row>
    <row r="39" spans="1:4">
      <c r="A39" s="72">
        <v>33</v>
      </c>
      <c r="B39" s="68">
        <v>44805</v>
      </c>
      <c r="C39" s="61">
        <f>(SUMIFS('MAIN DATA, Orders'!$M:$M,'MAIN DATA, Orders'!$C:$C,"Germany",'MAIN DATA, Orders'!$G:$G,"Aircraft",'MAIN DATA, Orders'!$Q:$Q,$A39)/1000000000)</f>
        <v>0</v>
      </c>
      <c r="D39" s="61">
        <f>(SUMIFS('MAIN DATA, Orders'!$M:$M,'MAIN DATA, Orders'!$C:$C,"Germany",'MAIN DATA, Orders'!$G:$G,"Development - Aircraft",'MAIN DATA, Orders'!$Q:$Q,$A39)/1000000000)</f>
        <v>0</v>
      </c>
    </row>
    <row r="40" spans="1:4">
      <c r="A40" s="72">
        <v>34</v>
      </c>
      <c r="B40" s="68">
        <v>44835</v>
      </c>
      <c r="C40" s="61">
        <f>(SUMIFS('MAIN DATA, Orders'!$M:$M,'MAIN DATA, Orders'!$C:$C,"Germany",'MAIN DATA, Orders'!$G:$G,"Aircraft",'MAIN DATA, Orders'!$Q:$Q,$A40)/1000000000)</f>
        <v>0</v>
      </c>
      <c r="D40" s="61">
        <f>(SUMIFS('MAIN DATA, Orders'!$M:$M,'MAIN DATA, Orders'!$C:$C,"Germany",'MAIN DATA, Orders'!$G:$G,"Development - Aircraft",'MAIN DATA, Orders'!$Q:$Q,$A40)/1000000000)</f>
        <v>0</v>
      </c>
    </row>
    <row r="41" spans="1:4">
      <c r="A41" s="72">
        <v>35</v>
      </c>
      <c r="B41" s="68">
        <v>44866</v>
      </c>
      <c r="C41" s="61">
        <f>(SUMIFS('MAIN DATA, Orders'!$M:$M,'MAIN DATA, Orders'!$C:$C,"Germany",'MAIN DATA, Orders'!$G:$G,"Aircraft",'MAIN DATA, Orders'!$Q:$Q,$A41)/1000000000)</f>
        <v>0</v>
      </c>
      <c r="D41" s="61">
        <f>(SUMIFS('MAIN DATA, Orders'!$M:$M,'MAIN DATA, Orders'!$C:$C,"Germany",'MAIN DATA, Orders'!$G:$G,"Development - Aircraft",'MAIN DATA, Orders'!$Q:$Q,$A41)/1000000000)</f>
        <v>0</v>
      </c>
    </row>
    <row r="42" spans="1:4">
      <c r="A42" s="72">
        <v>36</v>
      </c>
      <c r="B42" s="68">
        <v>44896</v>
      </c>
      <c r="C42" s="61">
        <f>(SUMIFS('MAIN DATA, Orders'!$M:$M,'MAIN DATA, Orders'!$C:$C,"Germany",'MAIN DATA, Orders'!$G:$G,"Aircraft",'MAIN DATA, Orders'!$Q:$Q,$A42)/1000000000)</f>
        <v>8.3000000000000007</v>
      </c>
      <c r="D42" s="61">
        <f>(SUMIFS('MAIN DATA, Orders'!$M:$M,'MAIN DATA, Orders'!$C:$C,"Germany",'MAIN DATA, Orders'!$G:$G,"Development - Aircraft",'MAIN DATA, Orders'!$Q:$Q,$A42)/1000000000)</f>
        <v>0</v>
      </c>
    </row>
    <row r="43" spans="1:4">
      <c r="A43" s="72">
        <v>37</v>
      </c>
      <c r="B43" s="68">
        <v>44927</v>
      </c>
      <c r="C43" s="61">
        <f>(SUMIFS('MAIN DATA, Orders'!$M:$M,'MAIN DATA, Orders'!$C:$C,"Germany",'MAIN DATA, Orders'!$G:$G,"Aircraft",'MAIN DATA, Orders'!$Q:$Q,$A43)/1000000000)</f>
        <v>0</v>
      </c>
      <c r="D43" s="61">
        <f>(SUMIFS('MAIN DATA, Orders'!$M:$M,'MAIN DATA, Orders'!$C:$C,"Germany",'MAIN DATA, Orders'!$G:$G,"Development - Aircraft",'MAIN DATA, Orders'!$Q:$Q,$A43)/1000000000)</f>
        <v>0</v>
      </c>
    </row>
    <row r="44" spans="1:4">
      <c r="A44" s="72">
        <v>38</v>
      </c>
      <c r="B44" s="68">
        <v>44958</v>
      </c>
      <c r="C44" s="61">
        <f>(SUMIFS('MAIN DATA, Orders'!$M:$M,'MAIN DATA, Orders'!$C:$C,"Germany",'MAIN DATA, Orders'!$G:$G,"Aircraft",'MAIN DATA, Orders'!$Q:$Q,$A44)/1000000000)</f>
        <v>0</v>
      </c>
      <c r="D44" s="61">
        <f>(SUMIFS('MAIN DATA, Orders'!$M:$M,'MAIN DATA, Orders'!$C:$C,"Germany",'MAIN DATA, Orders'!$G:$G,"Development - Aircraft",'MAIN DATA, Orders'!$Q:$Q,$A44)/1000000000)</f>
        <v>0</v>
      </c>
    </row>
    <row r="45" spans="1:4">
      <c r="A45" s="72">
        <v>39</v>
      </c>
      <c r="B45" s="68">
        <v>44986</v>
      </c>
      <c r="C45" s="61">
        <f>(SUMIFS('MAIN DATA, Orders'!$M:$M,'MAIN DATA, Orders'!$C:$C,"Germany",'MAIN DATA, Orders'!$G:$G,"Aircraft",'MAIN DATA, Orders'!$Q:$Q,$A45)/1000000000)</f>
        <v>0</v>
      </c>
      <c r="D45" s="61">
        <f>(SUMIFS('MAIN DATA, Orders'!$M:$M,'MAIN DATA, Orders'!$C:$C,"Germany",'MAIN DATA, Orders'!$G:$G,"Development - Aircraft",'MAIN DATA, Orders'!$Q:$Q,$A45)/1000000000)</f>
        <v>0</v>
      </c>
    </row>
    <row r="46" spans="1:4">
      <c r="A46" s="72">
        <v>40</v>
      </c>
      <c r="B46" s="68">
        <v>45017</v>
      </c>
      <c r="C46" s="61">
        <f>(SUMIFS('MAIN DATA, Orders'!$M:$M,'MAIN DATA, Orders'!$C:$C,"Germany",'MAIN DATA, Orders'!$G:$G,"Aircraft",'MAIN DATA, Orders'!$Q:$Q,$A46)/1000000000)</f>
        <v>0</v>
      </c>
      <c r="D46" s="61">
        <f>(SUMIFS('MAIN DATA, Orders'!$M:$M,'MAIN DATA, Orders'!$C:$C,"Germany",'MAIN DATA, Orders'!$G:$G,"Development - Aircraft",'MAIN DATA, Orders'!$Q:$Q,$A46)/1000000000)</f>
        <v>0</v>
      </c>
    </row>
    <row r="47" spans="1:4">
      <c r="A47" s="72">
        <v>41</v>
      </c>
      <c r="B47" s="68">
        <v>45047</v>
      </c>
      <c r="C47" s="61">
        <f>(SUMIFS('MAIN DATA, Orders'!$M:$M,'MAIN DATA, Orders'!$C:$C,"Germany",'MAIN DATA, Orders'!$G:$G,"Aircraft",'MAIN DATA, Orders'!$Q:$Q,$A47)/1000000000)</f>
        <v>0</v>
      </c>
      <c r="D47" s="61">
        <f>(SUMIFS('MAIN DATA, Orders'!$M:$M,'MAIN DATA, Orders'!$C:$C,"Germany",'MAIN DATA, Orders'!$G:$G,"Development - Aircraft",'MAIN DATA, Orders'!$Q:$Q,$A47)/1000000000)</f>
        <v>0</v>
      </c>
    </row>
    <row r="48" spans="1:4">
      <c r="A48" s="72">
        <v>42</v>
      </c>
      <c r="B48" s="68">
        <v>45078</v>
      </c>
      <c r="C48" s="61">
        <f>(SUMIFS('MAIN DATA, Orders'!$M:$M,'MAIN DATA, Orders'!$C:$C,"Germany",'MAIN DATA, Orders'!$G:$G,"Aircraft",'MAIN DATA, Orders'!$Q:$Q,$A48)/1000000000)</f>
        <v>0</v>
      </c>
      <c r="D48" s="61">
        <f>(SUMIFS('MAIN DATA, Orders'!$M:$M,'MAIN DATA, Orders'!$C:$C,"Germany",'MAIN DATA, Orders'!$G:$G,"Development - Aircraft",'MAIN DATA, Orders'!$Q:$Q,$A48)/1000000000)</f>
        <v>0</v>
      </c>
    </row>
    <row r="49" spans="1:4">
      <c r="A49" s="72">
        <v>43</v>
      </c>
      <c r="B49" s="68">
        <v>45108</v>
      </c>
      <c r="C49" s="61">
        <f>(SUMIFS('MAIN DATA, Orders'!$M:$M,'MAIN DATA, Orders'!$C:$C,"Germany",'MAIN DATA, Orders'!$G:$G,"Aircraft",'MAIN DATA, Orders'!$Q:$Q,$A49)/1000000000)</f>
        <v>0</v>
      </c>
      <c r="D49" s="61">
        <f>(SUMIFS('MAIN DATA, Orders'!$M:$M,'MAIN DATA, Orders'!$C:$C,"Germany",'MAIN DATA, Orders'!$G:$G,"Development - Aircraft",'MAIN DATA, Orders'!$Q:$Q,$A49)/1000000000)</f>
        <v>0</v>
      </c>
    </row>
    <row r="50" spans="1:4">
      <c r="A50" s="72">
        <v>44</v>
      </c>
      <c r="B50" s="68">
        <v>45139</v>
      </c>
      <c r="C50" s="61">
        <f>(SUMIFS('MAIN DATA, Orders'!$M:$M,'MAIN DATA, Orders'!$C:$C,"Germany",'MAIN DATA, Orders'!$G:$G,"Aircraft",'MAIN DATA, Orders'!$Q:$Q,$A50)/1000000000)</f>
        <v>0</v>
      </c>
      <c r="D50" s="61">
        <f>(SUMIFS('MAIN DATA, Orders'!$M:$M,'MAIN DATA, Orders'!$C:$C,"Germany",'MAIN DATA, Orders'!$G:$G,"Development - Aircraft",'MAIN DATA, Orders'!$Q:$Q,$A50)/1000000000)</f>
        <v>0</v>
      </c>
    </row>
    <row r="51" spans="1:4">
      <c r="A51" s="72">
        <v>45</v>
      </c>
      <c r="B51" s="68">
        <v>45170</v>
      </c>
      <c r="C51" s="61">
        <f>(SUMIFS('MAIN DATA, Orders'!$M:$M,'MAIN DATA, Orders'!$C:$C,"Germany",'MAIN DATA, Orders'!$G:$G,"Aircraft",'MAIN DATA, Orders'!$Q:$Q,$A51)/1000000000)</f>
        <v>0</v>
      </c>
      <c r="D51" s="61">
        <f>(SUMIFS('MAIN DATA, Orders'!$M:$M,'MAIN DATA, Orders'!$C:$C,"Germany",'MAIN DATA, Orders'!$G:$G,"Development - Aircraft",'MAIN DATA, Orders'!$Q:$Q,$A51)/1000000000)</f>
        <v>0.19769999999999999</v>
      </c>
    </row>
    <row r="52" spans="1:4">
      <c r="A52" s="72">
        <v>46</v>
      </c>
      <c r="B52" s="68">
        <v>45200</v>
      </c>
      <c r="C52" s="61">
        <f>(SUMIFS('MAIN DATA, Orders'!$M:$M,'MAIN DATA, Orders'!$C:$C,"Germany",'MAIN DATA, Orders'!$G:$G,"Aircraft",'MAIN DATA, Orders'!$Q:$Q,$A52)/1000000000)</f>
        <v>0</v>
      </c>
      <c r="D52" s="61">
        <f>(SUMIFS('MAIN DATA, Orders'!$M:$M,'MAIN DATA, Orders'!$C:$C,"Germany",'MAIN DATA, Orders'!$G:$G,"Development - Aircraft",'MAIN DATA, Orders'!$Q:$Q,$A52)/1000000000)</f>
        <v>0</v>
      </c>
    </row>
    <row r="53" spans="1:4">
      <c r="A53" s="72">
        <v>47</v>
      </c>
      <c r="B53" s="68">
        <v>45231</v>
      </c>
      <c r="C53" s="61">
        <f>(SUMIFS('MAIN DATA, Orders'!$M:$M,'MAIN DATA, Orders'!$C:$C,"Germany",'MAIN DATA, Orders'!$G:$G,"Aircraft",'MAIN DATA, Orders'!$Q:$Q,$A53)/1000000000)</f>
        <v>4.9299999999999997E-2</v>
      </c>
      <c r="D53" s="61">
        <f>(SUMIFS('MAIN DATA, Orders'!$M:$M,'MAIN DATA, Orders'!$C:$C,"Germany",'MAIN DATA, Orders'!$G:$G,"Development - Aircraft",'MAIN DATA, Orders'!$Q:$Q,$A53)/1000000000)</f>
        <v>0</v>
      </c>
    </row>
    <row r="54" spans="1:4">
      <c r="A54" s="72">
        <v>48</v>
      </c>
      <c r="B54" s="68">
        <v>45261</v>
      </c>
      <c r="C54" s="61">
        <f>(SUMIFS('MAIN DATA, Orders'!$M:$M,'MAIN DATA, Orders'!$C:$C,"Germany",'MAIN DATA, Orders'!$G:$G,"Aircraft",'MAIN DATA, Orders'!$Q:$Q,$A54)/1000000000)</f>
        <v>0</v>
      </c>
      <c r="D54" s="61">
        <f>(SUMIFS('MAIN DATA, Orders'!$M:$M,'MAIN DATA, Orders'!$C:$C,"Germany",'MAIN DATA, Orders'!$G:$G,"Development - Aircraft",'MAIN DATA, Orders'!$Q:$Q,$A54)/1000000000)</f>
        <v>0</v>
      </c>
    </row>
    <row r="55" spans="1:4">
      <c r="A55" s="72">
        <v>49</v>
      </c>
      <c r="B55" s="68">
        <v>45292</v>
      </c>
      <c r="C55" s="61">
        <f>(SUMIFS('MAIN DATA, Orders'!$M:$M,'MAIN DATA, Orders'!$C:$C,"Germany",'MAIN DATA, Orders'!$G:$G,"Aircraft",'MAIN DATA, Orders'!$Q:$Q,$A55)/1000000000)</f>
        <v>0</v>
      </c>
      <c r="D55" s="61">
        <f>(SUMIFS('MAIN DATA, Orders'!$M:$M,'MAIN DATA, Orders'!$C:$C,"Germany",'MAIN DATA, Orders'!$G:$G,"Development - Aircraft",'MAIN DATA, Orders'!$Q:$Q,$A55)/1000000000)</f>
        <v>0</v>
      </c>
    </row>
    <row r="56" spans="1:4">
      <c r="A56" s="72">
        <v>50</v>
      </c>
      <c r="B56" s="68">
        <v>45323</v>
      </c>
      <c r="C56" s="61">
        <f>(SUMIFS('MAIN DATA, Orders'!$M:$M,'MAIN DATA, Orders'!$C:$C,"Germany",'MAIN DATA, Orders'!$G:$G,"Aircraft",'MAIN DATA, Orders'!$Q:$Q,$A56)/1000000000)</f>
        <v>0</v>
      </c>
      <c r="D56" s="61">
        <f>(SUMIFS('MAIN DATA, Orders'!$M:$M,'MAIN DATA, Orders'!$C:$C,"Germany",'MAIN DATA, Orders'!$G:$G,"Development - Aircraft",'MAIN DATA, Orders'!$Q:$Q,$A56)/1000000000)</f>
        <v>0</v>
      </c>
    </row>
    <row r="57" spans="1:4">
      <c r="A57" s="72">
        <v>51</v>
      </c>
      <c r="B57" s="68">
        <v>45352</v>
      </c>
      <c r="C57" s="61">
        <f>(SUMIFS('MAIN DATA, Orders'!$M:$M,'MAIN DATA, Orders'!$C:$C,"Germany",'MAIN DATA, Orders'!$G:$G,"Aircraft",'MAIN DATA, Orders'!$Q:$Q,$A57)/1000000000)</f>
        <v>0</v>
      </c>
      <c r="D57" s="61">
        <f>(SUMIFS('MAIN DATA, Orders'!$M:$M,'MAIN DATA, Orders'!$C:$C,"Germany",'MAIN DATA, Orders'!$G:$G,"Development - Aircraft",'MAIN DATA, Orders'!$Q:$Q,$A57)/1000000000)</f>
        <v>0.10199999999999999</v>
      </c>
    </row>
    <row r="58" spans="1:4">
      <c r="A58" s="72">
        <v>52</v>
      </c>
      <c r="B58" s="68">
        <v>45383</v>
      </c>
      <c r="C58" s="61">
        <f>(SUMIFS('MAIN DATA, Orders'!$M:$M,'MAIN DATA, Orders'!$C:$C,"Germany",'MAIN DATA, Orders'!$G:$G,"Aircraft",'MAIN DATA, Orders'!$Q:$Q,$A58)/1000000000)</f>
        <v>4.2999999999999997E-2</v>
      </c>
      <c r="D58" s="61">
        <f>(SUMIFS('MAIN DATA, Orders'!$M:$M,'MAIN DATA, Orders'!$C:$C,"Germany",'MAIN DATA, Orders'!$G:$G,"Development - Aircraft",'MAIN DATA, Orders'!$Q:$Q,$A58)/1000000000)</f>
        <v>9.7000000000000003E-2</v>
      </c>
    </row>
    <row r="59" spans="1:4">
      <c r="A59" s="72">
        <v>53</v>
      </c>
      <c r="B59" s="68">
        <v>45413</v>
      </c>
      <c r="C59" s="61">
        <f>(SUMIFS('MAIN DATA, Orders'!$M:$M,'MAIN DATA, Orders'!$C:$C,"Germany",'MAIN DATA, Orders'!$G:$G,"Aircraft",'MAIN DATA, Orders'!$Q:$Q,$A59)/1000000000)</f>
        <v>0</v>
      </c>
      <c r="D59" s="61">
        <f>(SUMIFS('MAIN DATA, Orders'!$M:$M,'MAIN DATA, Orders'!$C:$C,"Germany",'MAIN DATA, Orders'!$G:$G,"Development - Aircraft",'MAIN DATA, Orders'!$Q:$Q,$A59)/1000000000)</f>
        <v>0</v>
      </c>
    </row>
    <row r="60" spans="1:4">
      <c r="A60" s="72">
        <v>54</v>
      </c>
      <c r="B60" s="68">
        <v>45444</v>
      </c>
      <c r="C60" s="61">
        <f>(SUMIFS('MAIN DATA, Orders'!$M:$M,'MAIN DATA, Orders'!$C:$C,"Germany",'MAIN DATA, Orders'!$G:$G,"Aircraft",'MAIN DATA, Orders'!$Q:$Q,$A60)/1000000000)</f>
        <v>6.6000000000000003E-2</v>
      </c>
      <c r="D60" s="61">
        <f>(SUMIFS('MAIN DATA, Orders'!$M:$M,'MAIN DATA, Orders'!$C:$C,"Germany",'MAIN DATA, Orders'!$G:$G,"Development - Aircraft",'MAIN DATA, Orders'!$Q:$Q,$A60)/1000000000)</f>
        <v>0</v>
      </c>
    </row>
    <row r="61" spans="1:4">
      <c r="A61" s="72">
        <v>55</v>
      </c>
      <c r="B61" s="155">
        <v>45474</v>
      </c>
      <c r="C61" s="159">
        <f>(SUMIFS('MAIN DATA, Orders'!$M:$M,'MAIN DATA, Orders'!$C:$C,"Germany",'MAIN DATA, Orders'!$G:$G,"Aircraft",'MAIN DATA, Orders'!$Q:$Q,$A61)/1000000000)</f>
        <v>0</v>
      </c>
      <c r="D61" s="159">
        <f>(SUMIFS('MAIN DATA, Orders'!$M:$M,'MAIN DATA, Orders'!$C:$C,"Germany",'MAIN DATA, Orders'!$G:$G,"Development - Aircraft",'MAIN DATA, Orders'!$Q:$Q,$A61)/1000000000)</f>
        <v>0</v>
      </c>
    </row>
    <row r="62" spans="1:4">
      <c r="A62" s="199"/>
      <c r="B62" s="199"/>
      <c r="C62" s="199"/>
      <c r="D62" s="199"/>
    </row>
    <row r="63" spans="1:4">
      <c r="A63" s="199"/>
      <c r="B63" s="69" t="s">
        <v>1431</v>
      </c>
      <c r="C63" s="69">
        <f>SUM(C7:C61)</f>
        <v>18.889299999999999</v>
      </c>
      <c r="D63" s="69">
        <f>SUM(D7:D61)</f>
        <v>5.0387000000000013</v>
      </c>
    </row>
  </sheetData>
  <mergeCells count="1">
    <mergeCell ref="B4:G4"/>
  </mergeCell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E4D56-8FDE-45B7-8871-E721BEE9F66B}">
  <sheetPr>
    <tabColor theme="9" tint="0.59999389629810485"/>
  </sheetPr>
  <dimension ref="A2:F63"/>
  <sheetViews>
    <sheetView workbookViewId="0"/>
  </sheetViews>
  <sheetFormatPr defaultColWidth="8.69921875" defaultRowHeight="15.6"/>
  <cols>
    <col min="1" max="1" width="8.69921875" style="1"/>
    <col min="2" max="2" width="13.5" style="1" customWidth="1"/>
    <col min="3" max="3" width="20.69921875" style="1" bestFit="1" customWidth="1"/>
    <col min="4" max="4" width="23.69921875" style="1" bestFit="1" customWidth="1"/>
    <col min="5" max="5" width="20.69921875" style="1" bestFit="1" customWidth="1"/>
    <col min="6" max="16384" width="8.69921875" style="1"/>
  </cols>
  <sheetData>
    <row r="2" spans="1:6" ht="25.2">
      <c r="B2" s="67" t="s">
        <v>1689</v>
      </c>
    </row>
    <row r="4" spans="1:6" ht="130.19999999999999" customHeight="1">
      <c r="B4" s="206" t="s">
        <v>1690</v>
      </c>
      <c r="C4" s="206"/>
      <c r="D4" s="206"/>
      <c r="E4" s="206"/>
      <c r="F4" s="206"/>
    </row>
    <row r="6" spans="1:6" ht="21" customHeight="1">
      <c r="B6" s="161" t="s">
        <v>1404</v>
      </c>
      <c r="C6" s="162" t="s">
        <v>165</v>
      </c>
      <c r="D6" s="162" t="s">
        <v>665</v>
      </c>
      <c r="E6" s="162" t="s">
        <v>784</v>
      </c>
      <c r="F6" s="3"/>
    </row>
    <row r="7" spans="1:6">
      <c r="A7" s="72">
        <v>1</v>
      </c>
      <c r="B7" s="68">
        <v>43831</v>
      </c>
      <c r="C7" s="61">
        <f>(SUMIFS('MAIN DATA, Orders'!$M:$M,'MAIN DATA, Orders'!$Q:$Q,$A7,'MAIN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7" s="61">
        <f>(SUMIFS('MAIN DATA, Orders'!$M:$M,'MAIN DATA, Orders'!$Q:$Q,$A7,'MAIN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7" s="61">
        <f>(SUMIFS('MAIN DATA, Orders'!$M:$M,'MAIN DATA, Orders'!$Q:$Q,$A7,'MAIN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8" spans="1:6">
      <c r="A8" s="72">
        <v>2</v>
      </c>
      <c r="B8" s="68">
        <v>43862</v>
      </c>
      <c r="C8" s="61">
        <f>(SUMIFS('MAIN DATA, Orders'!$M:$M,'MAIN DATA, Orders'!$Q:$Q,$A8,'MAIN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8" s="61">
        <f>(SUMIFS('MAIN DATA, Orders'!$M:$M,'MAIN DATA, Orders'!$Q:$Q,$A8,'MAIN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8" s="61">
        <f>(SUMIFS('MAIN DATA, Orders'!$M:$M,'MAIN DATA, Orders'!$Q:$Q,$A8,'MAIN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9" spans="1:6">
      <c r="A9" s="72">
        <v>3</v>
      </c>
      <c r="B9" s="68">
        <v>43891</v>
      </c>
      <c r="C9" s="61">
        <f>(SUMIFS('MAIN DATA, Orders'!$M:$M,'MAIN DATA, Orders'!$Q:$Q,$A9,'MAIN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9" s="61">
        <f>(SUMIFS('MAIN DATA, Orders'!$M:$M,'MAIN DATA, Orders'!$Q:$Q,$A9,'MAIN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9" s="61">
        <f>(SUMIFS('MAIN DATA, Orders'!$M:$M,'MAIN DATA, Orders'!$Q:$Q,$A9,'MAIN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10" spans="1:6">
      <c r="A10" s="72">
        <v>4</v>
      </c>
      <c r="B10" s="68">
        <v>43922</v>
      </c>
      <c r="C10" s="61">
        <f>(SUMIFS('MAIN DATA, Orders'!$M:$M,'MAIN DATA, Orders'!$Q:$Q,$A10,'MAIN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10" s="61">
        <f>(SUMIFS('MAIN DATA, Orders'!$M:$M,'MAIN DATA, Orders'!$Q:$Q,$A10,'MAIN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10" s="61">
        <f>(SUMIFS('MAIN DATA, Orders'!$M:$M,'MAIN DATA, Orders'!$Q:$Q,$A10,'MAIN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11" spans="1:6">
      <c r="A11" s="72">
        <v>5</v>
      </c>
      <c r="B11" s="68">
        <v>43952</v>
      </c>
      <c r="C11" s="61">
        <f>(SUMIFS('MAIN DATA, Orders'!$M:$M,'MAIN DATA, Orders'!$Q:$Q,$A11,'MAIN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0.03</v>
      </c>
      <c r="D11" s="61">
        <f>(SUMIFS('MAIN DATA, Orders'!$M:$M,'MAIN DATA, Orders'!$Q:$Q,$A11,'MAIN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11" s="61">
        <f>(SUMIFS('MAIN DATA, Orders'!$M:$M,'MAIN DATA, Orders'!$Q:$Q,$A11,'MAIN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12" spans="1:6">
      <c r="A12" s="72">
        <v>6</v>
      </c>
      <c r="B12" s="68">
        <v>43983</v>
      </c>
      <c r="C12" s="61">
        <f>(SUMIFS('MAIN DATA, Orders'!$M:$M,'MAIN DATA, Orders'!$Q:$Q,$A12,'MAIN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12" s="61">
        <f>(SUMIFS('MAIN DATA, Orders'!$M:$M,'MAIN DATA, Orders'!$Q:$Q,$A12,'MAIN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12" s="61">
        <f>(SUMIFS('MAIN DATA, Orders'!$M:$M,'MAIN DATA, Orders'!$Q:$Q,$A12,'MAIN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13" spans="1:6">
      <c r="A13" s="72">
        <v>7</v>
      </c>
      <c r="B13" s="68">
        <v>44013</v>
      </c>
      <c r="C13" s="61">
        <f>(SUMIFS('MAIN DATA, Orders'!$M:$M,'MAIN DATA, Orders'!$Q:$Q,$A13,'MAIN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13" s="61">
        <f>(SUMIFS('MAIN DATA, Orders'!$M:$M,'MAIN DATA, Orders'!$Q:$Q,$A13,'MAIN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13" s="61">
        <f>(SUMIFS('MAIN DATA, Orders'!$M:$M,'MAIN DATA, Orders'!$Q:$Q,$A13,'MAIN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14" spans="1:6">
      <c r="A14" s="72">
        <v>8</v>
      </c>
      <c r="B14" s="68">
        <v>44044</v>
      </c>
      <c r="C14" s="61">
        <f>(SUMIFS('MAIN DATA, Orders'!$M:$M,'MAIN DATA, Orders'!$Q:$Q,$A14,'MAIN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14" s="61">
        <f>(SUMIFS('MAIN DATA, Orders'!$M:$M,'MAIN DATA, Orders'!$Q:$Q,$A14,'MAIN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14" s="61">
        <f>(SUMIFS('MAIN DATA, Orders'!$M:$M,'MAIN DATA, Orders'!$Q:$Q,$A14,'MAIN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15" spans="1:6">
      <c r="A15" s="72">
        <v>9</v>
      </c>
      <c r="B15" s="68">
        <v>44075</v>
      </c>
      <c r="C15" s="61">
        <f>(SUMIFS('MAIN DATA, Orders'!$M:$M,'MAIN DATA, Orders'!$Q:$Q,$A15,'MAIN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15" s="61">
        <f>(SUMIFS('MAIN DATA, Orders'!$M:$M,'MAIN DATA, Orders'!$Q:$Q,$A15,'MAIN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15" s="61">
        <f>(SUMIFS('MAIN DATA, Orders'!$M:$M,'MAIN DATA, Orders'!$Q:$Q,$A15,'MAIN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16" spans="1:6">
      <c r="A16" s="72">
        <v>10</v>
      </c>
      <c r="B16" s="68">
        <v>44105</v>
      </c>
      <c r="C16" s="61">
        <f>(SUMIFS('MAIN DATA, Orders'!$M:$M,'MAIN DATA, Orders'!$Q:$Q,$A16,'MAIN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16" s="61">
        <f>(SUMIFS('MAIN DATA, Orders'!$M:$M,'MAIN DATA, Orders'!$Q:$Q,$A16,'MAIN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16" s="61">
        <f>(SUMIFS('MAIN DATA, Orders'!$M:$M,'MAIN DATA, Orders'!$Q:$Q,$A16,'MAIN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17" spans="1:5">
      <c r="A17" s="72">
        <v>11</v>
      </c>
      <c r="B17" s="68">
        <v>44136</v>
      </c>
      <c r="C17" s="61">
        <f>(SUMIFS('MAIN DATA, Orders'!$M:$M,'MAIN DATA, Orders'!$Q:$Q,$A17,'MAIN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0.20599999999999999</v>
      </c>
      <c r="D17" s="61">
        <f>(SUMIFS('MAIN DATA, Orders'!$M:$M,'MAIN DATA, Orders'!$Q:$Q,$A17,'MAIN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17" s="61">
        <f>(SUMIFS('MAIN DATA, Orders'!$M:$M,'MAIN DATA, Orders'!$Q:$Q,$A17,'MAIN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18" spans="1:5">
      <c r="A18" s="72">
        <v>12</v>
      </c>
      <c r="B18" s="68">
        <v>44166</v>
      </c>
      <c r="C18" s="61">
        <f>(SUMIFS('MAIN DATA, Orders'!$M:$M,'MAIN DATA, Orders'!$Q:$Q,$A18,'MAIN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18" s="61">
        <f>(SUMIFS('MAIN DATA, Orders'!$M:$M,'MAIN DATA, Orders'!$Q:$Q,$A18,'MAIN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18" s="61">
        <f>(SUMIFS('MAIN DATA, Orders'!$M:$M,'MAIN DATA, Orders'!$Q:$Q,$A18,'MAIN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19" spans="1:5">
      <c r="A19" s="72">
        <v>13</v>
      </c>
      <c r="B19" s="68">
        <v>44197</v>
      </c>
      <c r="C19" s="61">
        <f>(SUMIFS('MAIN DATA, Orders'!$M:$M,'MAIN DATA, Orders'!$Q:$Q,$A19,'MAIN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19" s="61">
        <f>(SUMIFS('MAIN DATA, Orders'!$M:$M,'MAIN DATA, Orders'!$Q:$Q,$A19,'MAIN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19" s="61">
        <f>(SUMIFS('MAIN DATA, Orders'!$M:$M,'MAIN DATA, Orders'!$Q:$Q,$A19,'MAIN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20" spans="1:5">
      <c r="A20" s="72">
        <v>14</v>
      </c>
      <c r="B20" s="68">
        <v>44228</v>
      </c>
      <c r="C20" s="61">
        <f>(SUMIFS('MAIN DATA, Orders'!$M:$M,'MAIN DATA, Orders'!$Q:$Q,$A20,'MAIN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8.7999999999999995E-2</v>
      </c>
      <c r="D20" s="61">
        <f>(SUMIFS('MAIN DATA, Orders'!$M:$M,'MAIN DATA, Orders'!$Q:$Q,$A20,'MAIN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20" s="61">
        <f>(SUMIFS('MAIN DATA, Orders'!$M:$M,'MAIN DATA, Orders'!$Q:$Q,$A20,'MAIN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21" spans="1:5">
      <c r="A21" s="72">
        <v>15</v>
      </c>
      <c r="B21" s="68">
        <v>44256</v>
      </c>
      <c r="C21" s="61">
        <f>(SUMIFS('MAIN DATA, Orders'!$M:$M,'MAIN DATA, Orders'!$Q:$Q,$A21,'MAIN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21" s="61">
        <f>(SUMIFS('MAIN DATA, Orders'!$M:$M,'MAIN DATA, Orders'!$Q:$Q,$A21,'MAIN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21" s="61">
        <f>(SUMIFS('MAIN DATA, Orders'!$M:$M,'MAIN DATA, Orders'!$Q:$Q,$A21,'MAIN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22" spans="1:5">
      <c r="A22" s="72">
        <v>16</v>
      </c>
      <c r="B22" s="68">
        <v>44287</v>
      </c>
      <c r="C22" s="61">
        <f>(SUMIFS('MAIN DATA, Orders'!$M:$M,'MAIN DATA, Orders'!$Q:$Q,$A22,'MAIN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3.4580000000000002</v>
      </c>
      <c r="D22" s="61">
        <f>(SUMIFS('MAIN DATA, Orders'!$M:$M,'MAIN DATA, Orders'!$Q:$Q,$A22,'MAIN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22" s="61">
        <f>(SUMIFS('MAIN DATA, Orders'!$M:$M,'MAIN DATA, Orders'!$Q:$Q,$A22,'MAIN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23" spans="1:5">
      <c r="A23" s="72">
        <v>17</v>
      </c>
      <c r="B23" s="68">
        <v>44317</v>
      </c>
      <c r="C23" s="61">
        <f>(SUMIFS('MAIN DATA, Orders'!$M:$M,'MAIN DATA, Orders'!$Q:$Q,$A23,'MAIN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23" s="61">
        <f>(SUMIFS('MAIN DATA, Orders'!$M:$M,'MAIN DATA, Orders'!$Q:$Q,$A23,'MAIN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23" s="61">
        <f>(SUMIFS('MAIN DATA, Orders'!$M:$M,'MAIN DATA, Orders'!$Q:$Q,$A23,'MAIN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24" spans="1:5">
      <c r="A24" s="72">
        <v>18</v>
      </c>
      <c r="B24" s="68">
        <v>44348</v>
      </c>
      <c r="C24" s="61">
        <f>(SUMIFS('MAIN DATA, Orders'!$M:$M,'MAIN DATA, Orders'!$Q:$Q,$A24,'MAIN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1.32</v>
      </c>
      <c r="D24" s="61">
        <f>(SUMIFS('MAIN DATA, Orders'!$M:$M,'MAIN DATA, Orders'!$Q:$Q,$A24,'MAIN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24" s="61">
        <f>(SUMIFS('MAIN DATA, Orders'!$M:$M,'MAIN DATA, Orders'!$Q:$Q,$A24,'MAIN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25" spans="1:5">
      <c r="A25" s="72">
        <v>19</v>
      </c>
      <c r="B25" s="68">
        <v>44378</v>
      </c>
      <c r="C25" s="61">
        <f>(SUMIFS('MAIN DATA, Orders'!$M:$M,'MAIN DATA, Orders'!$Q:$Q,$A25,'MAIN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25" s="61">
        <f>(SUMIFS('MAIN DATA, Orders'!$M:$M,'MAIN DATA, Orders'!$Q:$Q,$A25,'MAIN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25" s="61">
        <f>(SUMIFS('MAIN DATA, Orders'!$M:$M,'MAIN DATA, Orders'!$Q:$Q,$A25,'MAIN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26" spans="1:5">
      <c r="A26" s="72">
        <v>20</v>
      </c>
      <c r="B26" s="68">
        <v>44409</v>
      </c>
      <c r="C26" s="61">
        <f>(SUMIFS('MAIN DATA, Orders'!$M:$M,'MAIN DATA, Orders'!$Q:$Q,$A26,'MAIN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26" s="61">
        <f>(SUMIFS('MAIN DATA, Orders'!$M:$M,'MAIN DATA, Orders'!$Q:$Q,$A26,'MAIN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26" s="61">
        <f>(SUMIFS('MAIN DATA, Orders'!$M:$M,'MAIN DATA, Orders'!$Q:$Q,$A26,'MAIN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27" spans="1:5">
      <c r="A27" s="72">
        <v>21</v>
      </c>
      <c r="B27" s="68">
        <v>44440</v>
      </c>
      <c r="C27" s="61">
        <f>(SUMIFS('MAIN DATA, Orders'!$M:$M,'MAIN DATA, Orders'!$Q:$Q,$A27,'MAIN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27" s="61">
        <f>(SUMIFS('MAIN DATA, Orders'!$M:$M,'MAIN DATA, Orders'!$Q:$Q,$A27,'MAIN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27" s="61">
        <f>(SUMIFS('MAIN DATA, Orders'!$M:$M,'MAIN DATA, Orders'!$Q:$Q,$A27,'MAIN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28" spans="1:5">
      <c r="A28" s="72">
        <v>22</v>
      </c>
      <c r="B28" s="68">
        <v>44470</v>
      </c>
      <c r="C28" s="61">
        <f>(SUMIFS('MAIN DATA, Orders'!$M:$M,'MAIN DATA, Orders'!$Q:$Q,$A28,'MAIN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28" s="61">
        <f>(SUMIFS('MAIN DATA, Orders'!$M:$M,'MAIN DATA, Orders'!$Q:$Q,$A28,'MAIN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28" s="61">
        <f>(SUMIFS('MAIN DATA, Orders'!$M:$M,'MAIN DATA, Orders'!$Q:$Q,$A28,'MAIN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29" spans="1:5">
      <c r="A29" s="72">
        <v>23</v>
      </c>
      <c r="B29" s="68">
        <v>44501</v>
      </c>
      <c r="C29" s="61">
        <f>(SUMIFS('MAIN DATA, Orders'!$M:$M,'MAIN DATA, Orders'!$Q:$Q,$A29,'MAIN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29" s="61">
        <f>(SUMIFS('MAIN DATA, Orders'!$M:$M,'MAIN DATA, Orders'!$Q:$Q,$A29,'MAIN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29" s="61">
        <f>(SUMIFS('MAIN DATA, Orders'!$M:$M,'MAIN DATA, Orders'!$Q:$Q,$A29,'MAIN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30" spans="1:5">
      <c r="A30" s="72">
        <v>24</v>
      </c>
      <c r="B30" s="68">
        <v>44531</v>
      </c>
      <c r="C30" s="61">
        <f>(SUMIFS('MAIN DATA, Orders'!$M:$M,'MAIN DATA, Orders'!$Q:$Q,$A30,'MAIN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30" s="61">
        <f>(SUMIFS('MAIN DATA, Orders'!$M:$M,'MAIN DATA, Orders'!$Q:$Q,$A30,'MAIN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30" s="61">
        <f>(SUMIFS('MAIN DATA, Orders'!$M:$M,'MAIN DATA, Orders'!$Q:$Q,$A30,'MAIN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31" spans="1:5">
      <c r="A31" s="72">
        <v>25</v>
      </c>
      <c r="B31" s="68">
        <v>44562</v>
      </c>
      <c r="C31" s="61">
        <f>(SUMIFS('MAIN DATA, Orders'!$M:$M,'MAIN DATA, Orders'!$Q:$Q,$A31,'MAIN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31" s="61">
        <f>(SUMIFS('MAIN DATA, Orders'!$M:$M,'MAIN DATA, Orders'!$Q:$Q,$A31,'MAIN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31" s="61">
        <f>(SUMIFS('MAIN DATA, Orders'!$M:$M,'MAIN DATA, Orders'!$Q:$Q,$A31,'MAIN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32" spans="1:5">
      <c r="A32" s="72">
        <v>26</v>
      </c>
      <c r="B32" s="68">
        <v>44593</v>
      </c>
      <c r="C32" s="61">
        <f>(SUMIFS('MAIN DATA, Orders'!$M:$M,'MAIN DATA, Orders'!$Q:$Q,$A32,'MAIN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32" s="61">
        <f>(SUMIFS('MAIN DATA, Orders'!$M:$M,'MAIN DATA, Orders'!$Q:$Q,$A32,'MAIN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32" s="61">
        <f>(SUMIFS('MAIN DATA, Orders'!$M:$M,'MAIN DATA, Orders'!$Q:$Q,$A32,'MAIN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33" spans="1:5">
      <c r="A33" s="72">
        <v>27</v>
      </c>
      <c r="B33" s="68">
        <v>44621</v>
      </c>
      <c r="C33" s="61">
        <f>(SUMIFS('MAIN DATA, Orders'!$M:$M,'MAIN DATA, Orders'!$Q:$Q,$A33,'MAIN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33" s="61">
        <f>(SUMIFS('MAIN DATA, Orders'!$M:$M,'MAIN DATA, Orders'!$Q:$Q,$A33,'MAIN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33" s="61">
        <f>(SUMIFS('MAIN DATA, Orders'!$M:$M,'MAIN DATA, Orders'!$Q:$Q,$A33,'MAIN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34" spans="1:5">
      <c r="A34" s="72">
        <v>28</v>
      </c>
      <c r="B34" s="68">
        <v>44652</v>
      </c>
      <c r="C34" s="61">
        <f>(SUMIFS('MAIN DATA, Orders'!$M:$M,'MAIN DATA, Orders'!$Q:$Q,$A34,'MAIN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0.15</v>
      </c>
      <c r="D34" s="61">
        <f>(SUMIFS('MAIN DATA, Orders'!$M:$M,'MAIN DATA, Orders'!$Q:$Q,$A34,'MAIN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34" s="61">
        <f>(SUMIFS('MAIN DATA, Orders'!$M:$M,'MAIN DATA, Orders'!$Q:$Q,$A34,'MAIN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35" spans="1:5">
      <c r="A35" s="72">
        <v>29</v>
      </c>
      <c r="B35" s="68">
        <v>44682</v>
      </c>
      <c r="C35" s="61">
        <f>(SUMIFS('MAIN DATA, Orders'!$M:$M,'MAIN DATA, Orders'!$Q:$Q,$A35,'MAIN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35" s="61">
        <f>(SUMIFS('MAIN DATA, Orders'!$M:$M,'MAIN DATA, Orders'!$Q:$Q,$A35,'MAIN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35" s="61">
        <f>(SUMIFS('MAIN DATA, Orders'!$M:$M,'MAIN DATA, Orders'!$Q:$Q,$A35,'MAIN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36" spans="1:5">
      <c r="A36" s="72">
        <v>30</v>
      </c>
      <c r="B36" s="68">
        <v>44713</v>
      </c>
      <c r="C36" s="61">
        <f>(SUMIFS('MAIN DATA, Orders'!$M:$M,'MAIN DATA, Orders'!$Q:$Q,$A36,'MAIN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36" s="61">
        <f>(SUMIFS('MAIN DATA, Orders'!$M:$M,'MAIN DATA, Orders'!$Q:$Q,$A36,'MAIN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36" s="61">
        <f>(SUMIFS('MAIN DATA, Orders'!$M:$M,'MAIN DATA, Orders'!$Q:$Q,$A36,'MAIN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37" spans="1:5">
      <c r="A37" s="72">
        <v>31</v>
      </c>
      <c r="B37" s="68">
        <v>44743</v>
      </c>
      <c r="C37" s="61">
        <f>(SUMIFS('MAIN DATA, Orders'!$M:$M,'MAIN DATA, Orders'!$Q:$Q,$A37,'MAIN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4.2099999999999999E-2</v>
      </c>
      <c r="D37" s="61">
        <f>(SUMIFS('MAIN DATA, Orders'!$M:$M,'MAIN DATA, Orders'!$Q:$Q,$A37,'MAIN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37" s="61">
        <f>(SUMIFS('MAIN DATA, Orders'!$M:$M,'MAIN DATA, Orders'!$Q:$Q,$A37,'MAIN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38" spans="1:5">
      <c r="A38" s="72">
        <v>32</v>
      </c>
      <c r="B38" s="68">
        <v>44774</v>
      </c>
      <c r="C38" s="61">
        <f>(SUMIFS('MAIN DATA, Orders'!$M:$M,'MAIN DATA, Orders'!$Q:$Q,$A38,'MAIN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38" s="61">
        <f>(SUMIFS('MAIN DATA, Orders'!$M:$M,'MAIN DATA, Orders'!$Q:$Q,$A38,'MAIN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38" s="61">
        <f>(SUMIFS('MAIN DATA, Orders'!$M:$M,'MAIN DATA, Orders'!$Q:$Q,$A38,'MAIN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39" spans="1:5">
      <c r="A39" s="72">
        <v>33</v>
      </c>
      <c r="B39" s="68">
        <v>44805</v>
      </c>
      <c r="C39" s="61">
        <f>(SUMIFS('MAIN DATA, Orders'!$M:$M,'MAIN DATA, Orders'!$Q:$Q,$A39,'MAIN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39" s="61">
        <f>(SUMIFS('MAIN DATA, Orders'!$M:$M,'MAIN DATA, Orders'!$Q:$Q,$A39,'MAIN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39" s="61">
        <f>(SUMIFS('MAIN DATA, Orders'!$M:$M,'MAIN DATA, Orders'!$Q:$Q,$A39,'MAIN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40" spans="1:5">
      <c r="A40" s="72">
        <v>34</v>
      </c>
      <c r="B40" s="68">
        <v>44835</v>
      </c>
      <c r="C40" s="61">
        <f>(SUMIFS('MAIN DATA, Orders'!$M:$M,'MAIN DATA, Orders'!$Q:$Q,$A40,'MAIN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9.74E-2</v>
      </c>
      <c r="D40" s="61">
        <f>(SUMIFS('MAIN DATA, Orders'!$M:$M,'MAIN DATA, Orders'!$Q:$Q,$A40,'MAIN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40" s="61">
        <f>(SUMIFS('MAIN DATA, Orders'!$M:$M,'MAIN DATA, Orders'!$Q:$Q,$A40,'MAIN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41" spans="1:5">
      <c r="A41" s="72">
        <v>35</v>
      </c>
      <c r="B41" s="68">
        <v>44866</v>
      </c>
      <c r="C41" s="61">
        <f>(SUMIFS('MAIN DATA, Orders'!$M:$M,'MAIN DATA, Orders'!$Q:$Q,$A41,'MAIN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41" s="61">
        <f>(SUMIFS('MAIN DATA, Orders'!$M:$M,'MAIN DATA, Orders'!$Q:$Q,$A41,'MAIN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41" s="61">
        <f>(SUMIFS('MAIN DATA, Orders'!$M:$M,'MAIN DATA, Orders'!$Q:$Q,$A41,'MAIN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42" spans="1:5">
      <c r="A42" s="72">
        <v>36</v>
      </c>
      <c r="B42" s="68">
        <v>44896</v>
      </c>
      <c r="C42" s="61">
        <f>(SUMIFS('MAIN DATA, Orders'!$M:$M,'MAIN DATA, Orders'!$Q:$Q,$A42,'MAIN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0.20899999999999999</v>
      </c>
      <c r="D42" s="61">
        <f>(SUMIFS('MAIN DATA, Orders'!$M:$M,'MAIN DATA, Orders'!$Q:$Q,$A42,'MAIN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1.2549999999999999</v>
      </c>
      <c r="E42" s="61">
        <f>(SUMIFS('MAIN DATA, Orders'!$M:$M,'MAIN DATA, Orders'!$Q:$Q,$A42,'MAIN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43" spans="1:5">
      <c r="A43" s="72">
        <v>37</v>
      </c>
      <c r="B43" s="68">
        <v>44927</v>
      </c>
      <c r="C43" s="61">
        <f>(SUMIFS('MAIN DATA, Orders'!$M:$M,'MAIN DATA, Orders'!$Q:$Q,$A43,'MAIN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43" s="61">
        <f>(SUMIFS('MAIN DATA, Orders'!$M:$M,'MAIN DATA, Orders'!$Q:$Q,$A43,'MAIN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43" s="61">
        <f>(SUMIFS('MAIN DATA, Orders'!$M:$M,'MAIN DATA, Orders'!$Q:$Q,$A43,'MAIN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44" spans="1:5">
      <c r="A44" s="72">
        <v>38</v>
      </c>
      <c r="B44" s="68">
        <v>44958</v>
      </c>
      <c r="C44" s="61">
        <f>(SUMIFS('MAIN DATA, Orders'!$M:$M,'MAIN DATA, Orders'!$Q:$Q,$A44,'MAIN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44" s="61">
        <f>(SUMIFS('MAIN DATA, Orders'!$M:$M,'MAIN DATA, Orders'!$Q:$Q,$A44,'MAIN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44" s="61">
        <f>(SUMIFS('MAIN DATA, Orders'!$M:$M,'MAIN DATA, Orders'!$Q:$Q,$A44,'MAIN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0.16800000000000001</v>
      </c>
    </row>
    <row r="45" spans="1:5">
      <c r="A45" s="72">
        <v>39</v>
      </c>
      <c r="B45" s="68">
        <v>44986</v>
      </c>
      <c r="C45" s="61">
        <f>(SUMIFS('MAIN DATA, Orders'!$M:$M,'MAIN DATA, Orders'!$Q:$Q,$A45,'MAIN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0.19620000000000001</v>
      </c>
      <c r="D45" s="61">
        <f>(SUMIFS('MAIN DATA, Orders'!$M:$M,'MAIN DATA, Orders'!$Q:$Q,$A45,'MAIN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0.91900000000000004</v>
      </c>
      <c r="E45" s="61">
        <f>(SUMIFS('MAIN DATA, Orders'!$M:$M,'MAIN DATA, Orders'!$Q:$Q,$A45,'MAIN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0.184</v>
      </c>
    </row>
    <row r="46" spans="1:5">
      <c r="A46" s="72">
        <v>40</v>
      </c>
      <c r="B46" s="68">
        <v>45017</v>
      </c>
      <c r="C46" s="61">
        <f>(SUMIFS('MAIN DATA, Orders'!$M:$M,'MAIN DATA, Orders'!$Q:$Q,$A46,'MAIN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46" s="61">
        <f>(SUMIFS('MAIN DATA, Orders'!$M:$M,'MAIN DATA, Orders'!$Q:$Q,$A46,'MAIN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46" s="61">
        <f>(SUMIFS('MAIN DATA, Orders'!$M:$M,'MAIN DATA, Orders'!$Q:$Q,$A46,'MAIN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47" spans="1:5">
      <c r="A47" s="72">
        <v>41</v>
      </c>
      <c r="B47" s="68">
        <v>45047</v>
      </c>
      <c r="C47" s="61">
        <f>(SUMIFS('MAIN DATA, Orders'!$M:$M,'MAIN DATA, Orders'!$Q:$Q,$A47,'MAIN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47" s="61">
        <f>(SUMIFS('MAIN DATA, Orders'!$M:$M,'MAIN DATA, Orders'!$Q:$Q,$A47,'MAIN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1.087</v>
      </c>
      <c r="E47" s="61">
        <f>(SUMIFS('MAIN DATA, Orders'!$M:$M,'MAIN DATA, Orders'!$Q:$Q,$A47,'MAIN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0.71630000000000005</v>
      </c>
    </row>
    <row r="48" spans="1:5">
      <c r="A48" s="72">
        <v>42</v>
      </c>
      <c r="B48" s="68">
        <v>45078</v>
      </c>
      <c r="C48" s="61">
        <f>(SUMIFS('MAIN DATA, Orders'!$M:$M,'MAIN DATA, Orders'!$Q:$Q,$A48,'MAIN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48" s="61">
        <f>(SUMIFS('MAIN DATA, Orders'!$M:$M,'MAIN DATA, Orders'!$Q:$Q,$A48,'MAIN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0.95</v>
      </c>
      <c r="E48" s="61">
        <f>(SUMIFS('MAIN DATA, Orders'!$M:$M,'MAIN DATA, Orders'!$Q:$Q,$A48,'MAIN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49" spans="1:5">
      <c r="A49" s="72">
        <v>43</v>
      </c>
      <c r="B49" s="68">
        <v>45108</v>
      </c>
      <c r="C49" s="61">
        <f>(SUMIFS('MAIN DATA, Orders'!$M:$M,'MAIN DATA, Orders'!$Q:$Q,$A49,'MAIN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0.22589999999999999</v>
      </c>
      <c r="D49" s="61">
        <f>(SUMIFS('MAIN DATA, Orders'!$M:$M,'MAIN DATA, Orders'!$Q:$Q,$A49,'MAIN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7.85</v>
      </c>
      <c r="E49" s="61">
        <f>(SUMIFS('MAIN DATA, Orders'!$M:$M,'MAIN DATA, Orders'!$Q:$Q,$A49,'MAIN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0.50900000000000001</v>
      </c>
    </row>
    <row r="50" spans="1:5">
      <c r="A50" s="72">
        <v>44</v>
      </c>
      <c r="B50" s="68">
        <v>45139</v>
      </c>
      <c r="C50" s="61">
        <f>(SUMIFS('MAIN DATA, Orders'!$M:$M,'MAIN DATA, Orders'!$Q:$Q,$A50,'MAIN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50" s="61">
        <f>(SUMIFS('MAIN DATA, Orders'!$M:$M,'MAIN DATA, Orders'!$Q:$Q,$A50,'MAIN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50" s="61">
        <f>(SUMIFS('MAIN DATA, Orders'!$M:$M,'MAIN DATA, Orders'!$Q:$Q,$A50,'MAIN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51" spans="1:5">
      <c r="A51" s="72">
        <v>45</v>
      </c>
      <c r="B51" s="68">
        <v>45170</v>
      </c>
      <c r="C51" s="61">
        <f>(SUMIFS('MAIN DATA, Orders'!$M:$M,'MAIN DATA, Orders'!$Q:$Q,$A51,'MAIN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0.23860000000000001</v>
      </c>
      <c r="D51" s="61">
        <f>(SUMIFS('MAIN DATA, Orders'!$M:$M,'MAIN DATA, Orders'!$Q:$Q,$A51,'MAIN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51" s="61">
        <f>(SUMIFS('MAIN DATA, Orders'!$M:$M,'MAIN DATA, Orders'!$Q:$Q,$A51,'MAIN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52" spans="1:5">
      <c r="A52" s="72">
        <v>46</v>
      </c>
      <c r="B52" s="68">
        <v>45200</v>
      </c>
      <c r="C52" s="61">
        <f>(SUMIFS('MAIN DATA, Orders'!$M:$M,'MAIN DATA, Orders'!$Q:$Q,$A52,'MAIN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5.2499999999999998E-2</v>
      </c>
      <c r="D52" s="61">
        <f>(SUMIFS('MAIN DATA, Orders'!$M:$M,'MAIN DATA, Orders'!$Q:$Q,$A52,'MAIN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4.0404999999999998</v>
      </c>
      <c r="E52" s="61">
        <f>(SUMIFS('MAIN DATA, Orders'!$M:$M,'MAIN DATA, Orders'!$Q:$Q,$A52,'MAIN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6.8000000000000005E-2</v>
      </c>
    </row>
    <row r="53" spans="1:5">
      <c r="A53" s="72">
        <v>47</v>
      </c>
      <c r="B53" s="68">
        <v>45231</v>
      </c>
      <c r="C53" s="61">
        <f>(SUMIFS('MAIN DATA, Orders'!$M:$M,'MAIN DATA, Orders'!$Q:$Q,$A53,'MAIN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5.8999999999999997E-2</v>
      </c>
      <c r="D53" s="61">
        <f>(SUMIFS('MAIN DATA, Orders'!$M:$M,'MAIN DATA, Orders'!$Q:$Q,$A53,'MAIN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0.192</v>
      </c>
      <c r="E53" s="61">
        <f>(SUMIFS('MAIN DATA, Orders'!$M:$M,'MAIN DATA, Orders'!$Q:$Q,$A53,'MAIN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0.15</v>
      </c>
    </row>
    <row r="54" spans="1:5">
      <c r="A54" s="72">
        <v>48</v>
      </c>
      <c r="B54" s="68">
        <v>45261</v>
      </c>
      <c r="C54" s="61">
        <f>(SUMIFS('MAIN DATA, Orders'!$M:$M,'MAIN DATA, Orders'!$Q:$Q,$A54,'MAIN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3.49E-2</v>
      </c>
      <c r="D54" s="61">
        <f>(SUMIFS('MAIN DATA, Orders'!$M:$M,'MAIN DATA, Orders'!$Q:$Q,$A54,'MAIN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5.0940000000000003</v>
      </c>
      <c r="E54" s="61">
        <f>(SUMIFS('MAIN DATA, Orders'!$M:$M,'MAIN DATA, Orders'!$Q:$Q,$A54,'MAIN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0.88</v>
      </c>
    </row>
    <row r="55" spans="1:5">
      <c r="A55" s="72">
        <v>49</v>
      </c>
      <c r="B55" s="68">
        <v>45292</v>
      </c>
      <c r="C55" s="61">
        <f>(SUMIFS('MAIN DATA, Orders'!$M:$M,'MAIN DATA, Orders'!$Q:$Q,$A55,'MAIN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55" s="61">
        <f>(SUMIFS('MAIN DATA, Orders'!$M:$M,'MAIN DATA, Orders'!$Q:$Q,$A55,'MAIN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1.23</v>
      </c>
      <c r="E55" s="61">
        <f>(SUMIFS('MAIN DATA, Orders'!$M:$M,'MAIN DATA, Orders'!$Q:$Q,$A55,'MAIN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56" spans="1:5">
      <c r="A56" s="72">
        <v>50</v>
      </c>
      <c r="B56" s="68">
        <v>45323</v>
      </c>
      <c r="C56" s="61">
        <f>(SUMIFS('MAIN DATA, Orders'!$M:$M,'MAIN DATA, Orders'!$Q:$Q,$A56,'MAIN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56" s="61">
        <f>(SUMIFS('MAIN DATA, Orders'!$M:$M,'MAIN DATA, Orders'!$Q:$Q,$A56,'MAIN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0.64900000000000002</v>
      </c>
      <c r="E56" s="61">
        <f>(SUMIFS('MAIN DATA, Orders'!$M:$M,'MAIN DATA, Orders'!$Q:$Q,$A56,'MAIN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57" spans="1:5">
      <c r="A57" s="72">
        <v>51</v>
      </c>
      <c r="B57" s="68">
        <v>45352</v>
      </c>
      <c r="C57" s="61">
        <f>(SUMIFS('MAIN DATA, Orders'!$M:$M,'MAIN DATA, Orders'!$Q:$Q,$A57,'MAIN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57" s="61">
        <f>(SUMIFS('MAIN DATA, Orders'!$M:$M,'MAIN DATA, Orders'!$Q:$Q,$A57,'MAIN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2.64</v>
      </c>
      <c r="E57" s="61">
        <f>(SUMIFS('MAIN DATA, Orders'!$M:$M,'MAIN DATA, Orders'!$Q:$Q,$A57,'MAIN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0.7</v>
      </c>
    </row>
    <row r="58" spans="1:5">
      <c r="A58" s="72">
        <v>52</v>
      </c>
      <c r="B58" s="68">
        <v>45383</v>
      </c>
      <c r="C58" s="61">
        <f>(SUMIFS('MAIN DATA, Orders'!$M:$M,'MAIN DATA, Orders'!$Q:$Q,$A58,'MAIN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58" s="61">
        <f>(SUMIFS('MAIN DATA, Orders'!$M:$M,'MAIN DATA, Orders'!$Q:$Q,$A58,'MAIN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0.44700000000000001</v>
      </c>
      <c r="E58" s="61">
        <f>(SUMIFS('MAIN DATA, Orders'!$M:$M,'MAIN DATA, Orders'!$Q:$Q,$A58,'MAIN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59" spans="1:5">
      <c r="A59" s="72">
        <v>53</v>
      </c>
      <c r="B59" s="68">
        <v>45413</v>
      </c>
      <c r="C59" s="61">
        <f>(SUMIFS('MAIN DATA, Orders'!$M:$M,'MAIN DATA, Orders'!$Q:$Q,$A59,'MAIN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D59" s="61">
        <f>(SUMIFS('MAIN DATA, Orders'!$M:$M,'MAIN DATA, Orders'!$Q:$Q,$A59,'MAIN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c r="E59" s="61">
        <f>(SUMIFS('MAIN DATA, Orders'!$M:$M,'MAIN DATA, Orders'!$Q:$Q,$A59,'MAIN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v>
      </c>
    </row>
    <row r="60" spans="1:5">
      <c r="A60" s="72">
        <v>54</v>
      </c>
      <c r="B60" s="68">
        <v>45444</v>
      </c>
      <c r="C60" s="61">
        <f>(SUMIFS('MAIN DATA, Orders'!$M:$M,'MAIN DATA, Orders'!$Q:$Q,$A60,'MAIN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0.105</v>
      </c>
      <c r="D60" s="61">
        <f>(SUMIFS('MAIN DATA, Orders'!$M:$M,'MAIN DATA, Orders'!$Q:$Q,$A60,'MAIN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1.19</v>
      </c>
      <c r="E60" s="61">
        <f>(SUMIFS('MAIN DATA, Orders'!$M:$M,'MAIN DATA, Orders'!$Q:$Q,$A60,'MAIN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0.39500000000000002</v>
      </c>
    </row>
    <row r="61" spans="1:5">
      <c r="A61" s="72">
        <v>55</v>
      </c>
      <c r="B61" s="155">
        <v>45474</v>
      </c>
      <c r="C61" s="159">
        <f>(SUMIFS('MAIN DATA, Orders'!$M:$M,'MAIN DATA, Orders'!$Q:$Q,$A61,'MAIN DATA, Orders'!$C:$C,"Germany",'MAIN DATA, Orders'!$N:$N,"Einzelplan 14",'MAIN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1.05</v>
      </c>
      <c r="D61" s="159">
        <f>(SUMIFS('MAIN DATA, Orders'!$M:$M,'MAIN DATA, Orders'!$Q:$Q,$A61,'MAIN DATA, Orders'!$C:$C,"Germany",'MAIN DATA, Orders'!$N:$N,"Sondervermögen",'MAIN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4.2</v>
      </c>
      <c r="E61" s="159">
        <f>(SUMIFS('MAIN DATA, Orders'!$M:$M,'MAIN DATA, Orders'!$Q:$Q,$A61,'MAIN DATA, Orders'!$C:$C,"Germany",'MAIN DATA, Orders'!$N:$N,"Einzelplan 60",'MAIN DATA, Orders'!$G:$G,"&lt;&gt;Aircraft",'MAIN DATA, Orders'!$G:$G,"&lt;&gt;Development - Aircraft",'MAIN DATA, Orders'!$G:$G,"&lt;&gt;Naval",'MAIN DATA, Orders'!$G:$G,"&lt;&gt;Development - Naval",'MAIN DATA, Orders'!$G:$G,"&lt;&gt;Maintenance",'MAIN DATA, Orders'!$G:$G,"&lt;&gt;Development - Maintenance",'MAIN DATA, Orders'!$G:$G,"&lt;&gt;Modernisation",'MAIN DATA, Orders'!$G:$G,"&lt;&gt;Development - Modernisation",'MAIN DATA, Orders'!$G:$G,"&lt;&gt;Other",'MAIN DATA, Orders'!$G:$G,"&lt;&gt;Development - Other",'MAIN DATA, Orders'!$G:$G,"&lt;&gt;Missile (Air)",'MAIN DATA, Orders'!$G:$G,"&lt;&gt;Missile (Naval)")/1000000000)</f>
        <v>1.002</v>
      </c>
    </row>
    <row r="62" spans="1:5">
      <c r="A62" s="199"/>
      <c r="B62" s="199"/>
      <c r="C62" s="199"/>
      <c r="D62" s="199"/>
      <c r="E62" s="199"/>
    </row>
    <row r="63" spans="1:5">
      <c r="A63" s="199"/>
      <c r="B63" s="19" t="s">
        <v>1431</v>
      </c>
      <c r="C63" s="69">
        <f>SUM(C7:C61)</f>
        <v>7.5626000000000015</v>
      </c>
      <c r="D63" s="69">
        <f t="shared" ref="D63:E63" si="0">SUM(D7:D61)</f>
        <v>31.743500000000004</v>
      </c>
      <c r="E63" s="69">
        <f t="shared" si="0"/>
        <v>4.7723000000000004</v>
      </c>
    </row>
  </sheetData>
  <mergeCells count="1">
    <mergeCell ref="B4:F4"/>
  </mergeCell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9F29D-D241-44C6-A8CC-F23483338783}">
  <sheetPr>
    <tabColor theme="9" tint="0.59999389629810485"/>
  </sheetPr>
  <dimension ref="B2:F7"/>
  <sheetViews>
    <sheetView workbookViewId="0"/>
  </sheetViews>
  <sheetFormatPr defaultColWidth="8.69921875" defaultRowHeight="15.6"/>
  <cols>
    <col min="1" max="2" width="8.69921875" style="1"/>
    <col min="3" max="3" width="27.69921875" style="1" bestFit="1" customWidth="1"/>
    <col min="4" max="4" width="28.19921875" style="1" bestFit="1" customWidth="1"/>
    <col min="5" max="5" width="16.09765625" style="1" bestFit="1" customWidth="1"/>
    <col min="6" max="6" width="12.59765625" style="1" bestFit="1" customWidth="1"/>
    <col min="7" max="16384" width="8.69921875" style="1"/>
  </cols>
  <sheetData>
    <row r="2" spans="2:6" ht="25.2">
      <c r="B2" s="90" t="s">
        <v>1691</v>
      </c>
    </row>
    <row r="4" spans="2:6" ht="130.19999999999999" customHeight="1">
      <c r="B4" s="206" t="s">
        <v>1692</v>
      </c>
      <c r="C4" s="206"/>
      <c r="D4" s="206"/>
      <c r="E4" s="206"/>
      <c r="F4" s="206"/>
    </row>
    <row r="6" spans="2:6" ht="21" customHeight="1">
      <c r="B6" s="35"/>
      <c r="C6" s="162" t="s">
        <v>1629</v>
      </c>
      <c r="D6" s="162" t="s">
        <v>1630</v>
      </c>
      <c r="E6" s="162" t="s">
        <v>665</v>
      </c>
      <c r="F6" s="162" t="s">
        <v>784</v>
      </c>
    </row>
    <row r="7" spans="2:6">
      <c r="B7" s="152" t="s">
        <v>1431</v>
      </c>
      <c r="C7" s="181">
        <f>SUM('Fig A6.1 Land Forces by Fund'!C7:C32)</f>
        <v>5.1020000000000003</v>
      </c>
      <c r="D7" s="153">
        <f>SUM('Fig A6.1 Land Forces by Fund'!C33:C61)</f>
        <v>2.4605999999999999</v>
      </c>
      <c r="E7" s="153">
        <f>SUM('Fig A6.1 Land Forces by Fund'!D7:D61)</f>
        <v>31.743500000000004</v>
      </c>
      <c r="F7" s="153">
        <f>SUM('Fig A6.1 Land Forces by Fund'!E7:E61)</f>
        <v>4.7723000000000004</v>
      </c>
    </row>
  </sheetData>
  <mergeCells count="1">
    <mergeCell ref="B4:F4"/>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8C227D-11F4-4632-BAF3-F2593B2357B1}">
  <sheetPr>
    <tabColor theme="3" tint="0.749992370372631"/>
  </sheetPr>
  <dimension ref="B2:I124"/>
  <sheetViews>
    <sheetView workbookViewId="0"/>
  </sheetViews>
  <sheetFormatPr defaultColWidth="8.69921875" defaultRowHeight="15.6"/>
  <cols>
    <col min="1" max="3" width="8.69921875" style="1"/>
    <col min="4" max="4" width="53.19921875" style="1" bestFit="1" customWidth="1"/>
    <col min="5" max="5" width="44" style="1" customWidth="1"/>
    <col min="6" max="6" width="17.5" style="1" bestFit="1" customWidth="1"/>
    <col min="7" max="7" width="13.09765625" style="1" bestFit="1" customWidth="1"/>
    <col min="8" max="8" width="18.5" style="1" bestFit="1" customWidth="1"/>
    <col min="9" max="9" width="12.09765625" style="1" bestFit="1" customWidth="1"/>
    <col min="10" max="10" width="13.8984375" style="1" bestFit="1" customWidth="1"/>
    <col min="11" max="16384" width="8.69921875" style="1"/>
  </cols>
  <sheetData>
    <row r="2" spans="2:9" ht="25.2">
      <c r="B2" s="67" t="s">
        <v>1391</v>
      </c>
    </row>
    <row r="4" spans="2:9" ht="64.95" customHeight="1">
      <c r="B4" s="206" t="s">
        <v>1392</v>
      </c>
      <c r="C4" s="206"/>
      <c r="D4" s="206"/>
      <c r="E4" s="206"/>
    </row>
    <row r="6" spans="2:9" ht="21" customHeight="1">
      <c r="B6" s="165" t="s">
        <v>1393</v>
      </c>
      <c r="C6" s="165" t="s">
        <v>1394</v>
      </c>
      <c r="D6" s="165" t="s">
        <v>1395</v>
      </c>
      <c r="E6" s="165" t="s">
        <v>1396</v>
      </c>
      <c r="F6" s="165" t="s">
        <v>1397</v>
      </c>
      <c r="G6" s="165" t="s">
        <v>1398</v>
      </c>
      <c r="H6" s="165" t="s">
        <v>1399</v>
      </c>
      <c r="I6" s="165" t="s">
        <v>1400</v>
      </c>
    </row>
    <row r="7" spans="2:9">
      <c r="B7" s="199" t="s">
        <v>172</v>
      </c>
      <c r="C7" s="199" t="str">
        <f>VLOOKUP($B7,'MAIN DATA, Orders'!$A:$J,3,0)</f>
        <v>Germany</v>
      </c>
      <c r="D7" s="199" t="str">
        <f>VLOOKUP($B7,'MAIN DATA, Orders'!$A:$J,5,0)</f>
        <v>Multi-purpose combat ship (MKS) 180 / Class F126 frigate</v>
      </c>
      <c r="E7" s="199" t="str">
        <f>VLOOKUP($B7,'MAIN DATA, Orders'!$A:$J,6,0)</f>
        <v>Frigate</v>
      </c>
      <c r="F7" s="199" t="str">
        <f>VLOOKUP($B7,'MAIN DATA, Orders'!$A:$J,7,0)</f>
        <v>Naval</v>
      </c>
      <c r="G7" s="97">
        <f>VLOOKUP($B7,'MAIN DATA, Orders'!$A:$J,8,0)</f>
        <v>12</v>
      </c>
      <c r="H7" s="17">
        <f>VLOOKUP($B7,'MAIN DATA, Orders'!$A:$J,10,0)</f>
        <v>1400000000</v>
      </c>
      <c r="I7" s="17">
        <f>VLOOKUP($B7,'MAIN DATA, Orders'!$A:$J,9,0)</f>
        <v>4</v>
      </c>
    </row>
    <row r="8" spans="2:9">
      <c r="B8" s="199" t="s">
        <v>228</v>
      </c>
      <c r="C8" s="199" t="str">
        <f>VLOOKUP($B8,'MAIN DATA, Orders'!$A:$J,3,0)</f>
        <v>Germany</v>
      </c>
      <c r="D8" s="199" t="str">
        <f>VLOOKUP($B8,'MAIN DATA, Orders'!$A:$J,5,0)</f>
        <v>RBS15 Mk3 guided missile</v>
      </c>
      <c r="E8" s="199" t="str">
        <f>VLOOKUP($B8,'MAIN DATA, Orders'!$A:$J,6,0)</f>
        <v>Surface-to-surface (SSM) missile</v>
      </c>
      <c r="F8" s="199" t="str">
        <f>VLOOKUP($B8,'MAIN DATA, Orders'!$A:$J,7,0)</f>
        <v>Missile (Naval)</v>
      </c>
      <c r="G8" s="97">
        <f>VLOOKUP($B8,'MAIN DATA, Orders'!$A:$J,8,0)</f>
        <v>6</v>
      </c>
      <c r="H8" s="17">
        <f>VLOOKUP($B8,'MAIN DATA, Orders'!$A:$J,10,0)</f>
        <v>3800000</v>
      </c>
      <c r="I8" s="17">
        <f>VLOOKUP($B8,'MAIN DATA, Orders'!$A:$J,9,0)</f>
        <v>75</v>
      </c>
    </row>
    <row r="9" spans="2:9">
      <c r="B9" s="199" t="s">
        <v>250</v>
      </c>
      <c r="C9" s="199" t="str">
        <f>VLOOKUP($B9,'MAIN DATA, Orders'!$A:$J,3,0)</f>
        <v>Germany</v>
      </c>
      <c r="D9" s="199" t="str">
        <f>VLOOKUP($B9,'MAIN DATA, Orders'!$A:$J,5,0)</f>
        <v>Quadriga Eurofighter</v>
      </c>
      <c r="E9" s="199" t="str">
        <f>VLOOKUP($B9,'MAIN DATA, Orders'!$A:$J,6,0)</f>
        <v>Fighter aircraft</v>
      </c>
      <c r="F9" s="199" t="str">
        <f>VLOOKUP($B9,'MAIN DATA, Orders'!$A:$J,7,0)</f>
        <v>Aircraft</v>
      </c>
      <c r="G9" s="97">
        <f>VLOOKUP($B9,'MAIN DATA, Orders'!$A:$J,8,0)</f>
        <v>11</v>
      </c>
      <c r="H9" s="17">
        <f>VLOOKUP($B9,'MAIN DATA, Orders'!$A:$J,10,0)</f>
        <v>144736842.10526314</v>
      </c>
      <c r="I9" s="17">
        <f>VLOOKUP($B9,'MAIN DATA, Orders'!$A:$J,9,0)</f>
        <v>38</v>
      </c>
    </row>
    <row r="10" spans="2:9">
      <c r="B10" s="199" t="s">
        <v>258</v>
      </c>
      <c r="C10" s="199" t="str">
        <f>VLOOKUP($B10,'MAIN DATA, Orders'!$A:$J,3,0)</f>
        <v>Germany</v>
      </c>
      <c r="D10" s="199" t="str">
        <f>VLOOKUP($B10,'MAIN DATA, Orders'!$A:$J,5,0)</f>
        <v>Testing equipment for DM2A4 torpedo</v>
      </c>
      <c r="E10" s="199" t="str">
        <f>VLOOKUP($B10,'MAIN DATA, Orders'!$A:$J,6,0)</f>
        <v>Equipment for heavyweight torpedo</v>
      </c>
      <c r="F10" s="199" t="str">
        <f>VLOOKUP($B10,'MAIN DATA, Orders'!$A:$J,7,0)</f>
        <v>Naval</v>
      </c>
      <c r="G10" s="97">
        <f>VLOOKUP($B10,'MAIN DATA, Orders'!$A:$J,8,0)</f>
        <v>12</v>
      </c>
      <c r="H10" s="17">
        <f>VLOOKUP($B10,'MAIN DATA, Orders'!$A:$J,10,0)</f>
        <v>449275.36231884058</v>
      </c>
      <c r="I10" s="17">
        <f>VLOOKUP($B10,'MAIN DATA, Orders'!$A:$J,9,0)</f>
        <v>69</v>
      </c>
    </row>
    <row r="11" spans="2:9">
      <c r="B11" s="199" t="s">
        <v>265</v>
      </c>
      <c r="C11" s="199" t="str">
        <f>VLOOKUP($B11,'MAIN DATA, Orders'!$A:$J,3,0)</f>
        <v>Germany</v>
      </c>
      <c r="D11" s="199" t="str">
        <f>VLOOKUP($B11,'MAIN DATA, Orders'!$A:$J,5,0)</f>
        <v>Leopard 2 ammunition DM88 (training)</v>
      </c>
      <c r="E11" s="199" t="str">
        <f>VLOOKUP($B11,'MAIN DATA, Orders'!$A:$J,6,0)</f>
        <v>120mm tank ammunition</v>
      </c>
      <c r="F11" s="199" t="str">
        <f>VLOOKUP($B11,'MAIN DATA, Orders'!$A:$J,7,0)</f>
        <v>Ammunition</v>
      </c>
      <c r="G11" s="97">
        <f>VLOOKUP($B11,'MAIN DATA, Orders'!$A:$J,8,0)</f>
        <v>4</v>
      </c>
      <c r="H11" s="17">
        <f>VLOOKUP($B11,'MAIN DATA, Orders'!$A:$J,10,0)</f>
        <v>1733.3333333333333</v>
      </c>
      <c r="I11" s="17">
        <f>VLOOKUP($B11,'MAIN DATA, Orders'!$A:$J,9,0)</f>
        <v>15000</v>
      </c>
    </row>
    <row r="12" spans="2:9">
      <c r="B12" s="199" t="s">
        <v>275</v>
      </c>
      <c r="C12" s="199" t="str">
        <f>VLOOKUP($B12,'MAIN DATA, Orders'!$A:$J,3,0)</f>
        <v>Germany</v>
      </c>
      <c r="D12" s="199" t="str">
        <f>VLOOKUP($B12,'MAIN DATA, Orders'!$A:$J,5,0)</f>
        <v>Sea Tiger NH-90 Multi Role Frigate Helicopter</v>
      </c>
      <c r="E12" s="199" t="str">
        <f>VLOOKUP($B12,'MAIN DATA, Orders'!$A:$J,6,0)</f>
        <v>Maritime frigate attack helicopter</v>
      </c>
      <c r="F12" s="199" t="str">
        <f>VLOOKUP($B12,'MAIN DATA, Orders'!$A:$J,7,0)</f>
        <v>Naval</v>
      </c>
      <c r="G12" s="97">
        <f>VLOOKUP($B12,'MAIN DATA, Orders'!$A:$J,8,0)</f>
        <v>12</v>
      </c>
      <c r="H12" s="17">
        <f>VLOOKUP($B12,'MAIN DATA, Orders'!$A:$J,10,0)</f>
        <v>87096774.193548381</v>
      </c>
      <c r="I12" s="17">
        <f>VLOOKUP($B12,'MAIN DATA, Orders'!$A:$J,9,0)</f>
        <v>31</v>
      </c>
    </row>
    <row r="13" spans="2:9">
      <c r="B13" s="199" t="s">
        <v>283</v>
      </c>
      <c r="C13" s="199" t="str">
        <f>VLOOKUP($B13,'MAIN DATA, Orders'!$A:$J,3,0)</f>
        <v>Germany</v>
      </c>
      <c r="D13" s="199" t="str">
        <f>VLOOKUP($B13,'MAIN DATA, Orders'!$A:$J,5,0)</f>
        <v>Protected truck 15t</v>
      </c>
      <c r="E13" s="199" t="str">
        <f>VLOOKUP($B13,'MAIN DATA, Orders'!$A:$J,6,0)</f>
        <v>Armoured Utility Vehicle (AUV)</v>
      </c>
      <c r="F13" s="199" t="str">
        <f>VLOOKUP($B13,'MAIN DATA, Orders'!$A:$J,7,0)</f>
        <v>Armoured vehicle</v>
      </c>
      <c r="G13" s="97">
        <f>VLOOKUP($B13,'MAIN DATA, Orders'!$A:$J,8,0)</f>
        <v>2</v>
      </c>
      <c r="H13" s="17">
        <f>VLOOKUP($B13,'MAIN DATA, Orders'!$A:$J,10,0)</f>
        <v>803571.42857142852</v>
      </c>
      <c r="I13" s="17">
        <f>VLOOKUP($B13,'MAIN DATA, Orders'!$A:$J,9,0)</f>
        <v>224</v>
      </c>
    </row>
    <row r="14" spans="2:9">
      <c r="B14" s="199" t="s">
        <v>290</v>
      </c>
      <c r="C14" s="199" t="str">
        <f>VLOOKUP($B14,'MAIN DATA, Orders'!$A:$J,3,0)</f>
        <v>Germany</v>
      </c>
      <c r="D14" s="199" t="str">
        <f>VLOOKUP($B14,'MAIN DATA, Orders'!$A:$J,5,0)</f>
        <v>Tractor unit 70t</v>
      </c>
      <c r="E14" s="199" t="str">
        <f>VLOOKUP($B14,'MAIN DATA, Orders'!$A:$J,6,0)</f>
        <v>Non-combat military vehicle</v>
      </c>
      <c r="F14" s="199" t="str">
        <f>VLOOKUP($B14,'MAIN DATA, Orders'!$A:$J,7,0)</f>
        <v>Other</v>
      </c>
      <c r="G14" s="97">
        <f>VLOOKUP($B14,'MAIN DATA, Orders'!$A:$J,8,0)</f>
        <v>16</v>
      </c>
      <c r="H14" s="17">
        <f>VLOOKUP($B14,'MAIN DATA, Orders'!$A:$J,10,0)</f>
        <v>854166.66666666663</v>
      </c>
      <c r="I14" s="17">
        <f>VLOOKUP($B14,'MAIN DATA, Orders'!$A:$J,9,0)</f>
        <v>48</v>
      </c>
    </row>
    <row r="15" spans="2:9">
      <c r="B15" s="199" t="s">
        <v>333</v>
      </c>
      <c r="C15" s="199" t="str">
        <f>VLOOKUP($B15,'MAIN DATA, Orders'!$A:$J,3,0)</f>
        <v>Germany</v>
      </c>
      <c r="D15" s="199" t="str">
        <f>VLOOKUP($B15,'MAIN DATA, Orders'!$A:$J,5,0)</f>
        <v>Kodiak engineer vehicle</v>
      </c>
      <c r="E15" s="199" t="str">
        <f>VLOOKUP($B15,'MAIN DATA, Orders'!$A:$J,6,0)</f>
        <v>Armoured engineer vehicle</v>
      </c>
      <c r="F15" s="199" t="str">
        <f>VLOOKUP($B15,'MAIN DATA, Orders'!$A:$J,7,0)</f>
        <v>Armoured vehicle</v>
      </c>
      <c r="G15" s="97">
        <f>VLOOKUP($B15,'MAIN DATA, Orders'!$A:$J,8,0)</f>
        <v>2</v>
      </c>
      <c r="H15" s="17">
        <f>VLOOKUP($B15,'MAIN DATA, Orders'!$A:$J,10,0)</f>
        <v>6704545.4545454541</v>
      </c>
      <c r="I15" s="17">
        <f>VLOOKUP($B15,'MAIN DATA, Orders'!$A:$J,9,0)</f>
        <v>44</v>
      </c>
    </row>
    <row r="16" spans="2:9">
      <c r="B16" s="199" t="s">
        <v>339</v>
      </c>
      <c r="C16" s="199" t="str">
        <f>VLOOKUP($B16,'MAIN DATA, Orders'!$A:$J,3,0)</f>
        <v>Germany</v>
      </c>
      <c r="D16" s="199" t="str">
        <f>VLOOKUP($B16,'MAIN DATA, Orders'!$A:$J,5,0)</f>
        <v>Sea Falcon helicopter drone system for Class K130 corvette</v>
      </c>
      <c r="E16" s="199" t="str">
        <f>VLOOKUP($B16,'MAIN DATA, Orders'!$A:$J,6,0)</f>
        <v>Naval reconnaissance drone</v>
      </c>
      <c r="F16" s="199" t="str">
        <f>VLOOKUP($B16,'MAIN DATA, Orders'!$A:$J,7,0)</f>
        <v>Naval</v>
      </c>
      <c r="G16" s="97">
        <f>VLOOKUP($B16,'MAIN DATA, Orders'!$A:$J,8,0)</f>
        <v>12</v>
      </c>
      <c r="H16" s="17">
        <f>VLOOKUP($B16,'MAIN DATA, Orders'!$A:$J,10,0)</f>
        <v>15600000</v>
      </c>
      <c r="I16" s="17">
        <f>VLOOKUP($B16,'MAIN DATA, Orders'!$A:$J,9,0)</f>
        <v>5</v>
      </c>
    </row>
    <row r="17" spans="2:9">
      <c r="B17" s="199" t="s">
        <v>347</v>
      </c>
      <c r="C17" s="199" t="str">
        <f>VLOOKUP($B17,'MAIN DATA, Orders'!$A:$J,3,0)</f>
        <v>Germany</v>
      </c>
      <c r="D17" s="199" t="str">
        <f>VLOOKUP($B17,'MAIN DATA, Orders'!$A:$J,5,0)</f>
        <v>Airbus EC135 rental</v>
      </c>
      <c r="E17" s="199" t="str">
        <f>VLOOKUP($B17,'MAIN DATA, Orders'!$A:$J,6,0)</f>
        <v>Light utility helicopter</v>
      </c>
      <c r="F17" s="199" t="str">
        <f>VLOOKUP($B17,'MAIN DATA, Orders'!$A:$J,7,0)</f>
        <v>Helicopter</v>
      </c>
      <c r="G17" s="97">
        <f>VLOOKUP($B17,'MAIN DATA, Orders'!$A:$J,8,0)</f>
        <v>10</v>
      </c>
      <c r="H17" s="17">
        <f>VLOOKUP($B17,'MAIN DATA, Orders'!$A:$J,10,0)</f>
        <v>9000000</v>
      </c>
      <c r="I17" s="17">
        <f>VLOOKUP($B17,'MAIN DATA, Orders'!$A:$J,9,0)</f>
        <v>7</v>
      </c>
    </row>
    <row r="18" spans="2:9">
      <c r="B18" s="199" t="s">
        <v>391</v>
      </c>
      <c r="C18" s="199" t="str">
        <f>VLOOKUP($B18,'MAIN DATA, Orders'!$A:$J,3,0)</f>
        <v>Germany</v>
      </c>
      <c r="D18" s="199" t="str">
        <f>VLOOKUP($B18,'MAIN DATA, Orders'!$A:$J,5,0)</f>
        <v>TCK 9 fuel tank container</v>
      </c>
      <c r="E18" s="199" t="str">
        <f>VLOOKUP($B18,'MAIN DATA, Orders'!$A:$J,6,0)</f>
        <v>Non-combat military vehicle part</v>
      </c>
      <c r="F18" s="199" t="str">
        <f>VLOOKUP($B18,'MAIN DATA, Orders'!$A:$J,7,0)</f>
        <v>Other</v>
      </c>
      <c r="G18" s="97">
        <f>VLOOKUP($B18,'MAIN DATA, Orders'!$A:$J,8,0)</f>
        <v>16</v>
      </c>
      <c r="H18" s="17">
        <f>VLOOKUP($B18,'MAIN DATA, Orders'!$A:$J,10,0)</f>
        <v>145000</v>
      </c>
      <c r="I18" s="17">
        <f>VLOOKUP($B18,'MAIN DATA, Orders'!$A:$J,9,0)</f>
        <v>200</v>
      </c>
    </row>
    <row r="19" spans="2:9">
      <c r="B19" s="199" t="s">
        <v>397</v>
      </c>
      <c r="C19" s="199" t="str">
        <f>VLOOKUP($B19,'MAIN DATA, Orders'!$A:$J,3,0)</f>
        <v>Germany</v>
      </c>
      <c r="D19" s="199" t="str">
        <f>VLOOKUP($B19,'MAIN DATA, Orders'!$A:$J,5,0)</f>
        <v>Ground-based reconnaissance and area surveillance system (BARÜ)</v>
      </c>
      <c r="E19" s="199" t="str">
        <f>VLOOKUP($B19,'MAIN DATA, Orders'!$A:$J,6,0)</f>
        <v>Communication and digitalisation</v>
      </c>
      <c r="F19" s="199" t="str">
        <f>VLOOKUP($B19,'MAIN DATA, Orders'!$A:$J,7,0)</f>
        <v>Modernisation</v>
      </c>
      <c r="G19" s="97">
        <f>VLOOKUP($B19,'MAIN DATA, Orders'!$A:$J,8,0)</f>
        <v>13</v>
      </c>
      <c r="H19" s="17">
        <f>VLOOKUP($B19,'MAIN DATA, Orders'!$A:$J,10,0)</f>
        <v>521739.13043478259</v>
      </c>
      <c r="I19" s="17">
        <f>VLOOKUP($B19,'MAIN DATA, Orders'!$A:$J,9,0)</f>
        <v>69</v>
      </c>
    </row>
    <row r="20" spans="2:9">
      <c r="B20" s="199" t="s">
        <v>414</v>
      </c>
      <c r="C20" s="199" t="str">
        <f>VLOOKUP($B20,'MAIN DATA, Orders'!$A:$J,3,0)</f>
        <v>Germany</v>
      </c>
      <c r="D20" s="199" t="str">
        <f>VLOOKUP($B20,'MAIN DATA, Orders'!$A:$J,5,0)</f>
        <v>P-8A Poseidon</v>
      </c>
      <c r="E20" s="199" t="str">
        <f>VLOOKUP($B20,'MAIN DATA, Orders'!$A:$J,6,0)</f>
        <v>Maritime reconnaissance patrol aircraft</v>
      </c>
      <c r="F20" s="199" t="str">
        <f>VLOOKUP($B20,'MAIN DATA, Orders'!$A:$J,7,0)</f>
        <v>Naval</v>
      </c>
      <c r="G20" s="97">
        <f>VLOOKUP($B20,'MAIN DATA, Orders'!$A:$J,8,0)</f>
        <v>12</v>
      </c>
      <c r="H20" s="17">
        <f>VLOOKUP($B20,'MAIN DATA, Orders'!$A:$J,10,0)</f>
        <v>220000000</v>
      </c>
      <c r="I20" s="17">
        <f>VLOOKUP($B20,'MAIN DATA, Orders'!$A:$J,9,0)</f>
        <v>5</v>
      </c>
    </row>
    <row r="21" spans="2:9">
      <c r="B21" s="199" t="s">
        <v>427</v>
      </c>
      <c r="C21" s="199" t="str">
        <f>VLOOKUP($B21,'MAIN DATA, Orders'!$A:$J,3,0)</f>
        <v>Germany</v>
      </c>
      <c r="D21" s="199" t="str">
        <f>VLOOKUP($B21,'MAIN DATA, Orders'!$A:$J,5,0)</f>
        <v>PEGASUS reconnaissance system</v>
      </c>
      <c r="E21" s="199" t="str">
        <f>VLOOKUP($B21,'MAIN DATA, Orders'!$A:$J,6,0)</f>
        <v>Airborne surveillance system</v>
      </c>
      <c r="F21" s="199" t="str">
        <f>VLOOKUP($B21,'MAIN DATA, Orders'!$A:$J,7,0)</f>
        <v>Aircraft</v>
      </c>
      <c r="G21" s="97">
        <f>VLOOKUP($B21,'MAIN DATA, Orders'!$A:$J,8,0)</f>
        <v>11</v>
      </c>
      <c r="H21" s="17">
        <f>VLOOKUP($B21,'MAIN DATA, Orders'!$A:$J,10,0)</f>
        <v>1540000000</v>
      </c>
      <c r="I21" s="17">
        <f>VLOOKUP($B21,'MAIN DATA, Orders'!$A:$J,9,0)</f>
        <v>1</v>
      </c>
    </row>
    <row r="22" spans="2:9">
      <c r="B22" s="199" t="s">
        <v>441</v>
      </c>
      <c r="C22" s="199" t="str">
        <f>VLOOKUP($B22,'MAIN DATA, Orders'!$A:$J,3,0)</f>
        <v>Germany</v>
      </c>
      <c r="D22" s="199" t="str">
        <f>VLOOKUP($B22,'MAIN DATA, Orders'!$A:$J,5,0)</f>
        <v>Modular container-based air traffic control system</v>
      </c>
      <c r="E22" s="199" t="str">
        <f>VLOOKUP($B22,'MAIN DATA, Orders'!$A:$J,6,0)</f>
        <v>Air traffic control system</v>
      </c>
      <c r="F22" s="199" t="str">
        <f>VLOOKUP($B22,'MAIN DATA, Orders'!$A:$J,7,0)</f>
        <v>Aircraft</v>
      </c>
      <c r="G22" s="97">
        <f>VLOOKUP($B22,'MAIN DATA, Orders'!$A:$J,8,0)</f>
        <v>11</v>
      </c>
      <c r="H22" s="17">
        <f>VLOOKUP($B22,'MAIN DATA, Orders'!$A:$J,10,0)</f>
        <v>67000000</v>
      </c>
      <c r="I22" s="17">
        <f>VLOOKUP($B22,'MAIN DATA, Orders'!$A:$J,9,0)</f>
        <v>1</v>
      </c>
    </row>
    <row r="23" spans="2:9">
      <c r="B23" s="199" t="s">
        <v>448</v>
      </c>
      <c r="C23" s="199" t="str">
        <f>VLOOKUP($B23,'MAIN DATA, Orders'!$A:$J,3,0)</f>
        <v>Germany</v>
      </c>
      <c r="D23" s="199" t="str">
        <f>VLOOKUP($B23,'MAIN DATA, Orders'!$A:$J,5,0)</f>
        <v>Class 424 fleet service ship</v>
      </c>
      <c r="E23" s="199" t="str">
        <f>VLOOKUP($B23,'MAIN DATA, Orders'!$A:$J,6,0)</f>
        <v>Reconnaissance ship</v>
      </c>
      <c r="F23" s="199" t="str">
        <f>VLOOKUP($B23,'MAIN DATA, Orders'!$A:$J,7,0)</f>
        <v>Naval</v>
      </c>
      <c r="G23" s="97">
        <f>VLOOKUP($B23,'MAIN DATA, Orders'!$A:$J,8,0)</f>
        <v>12</v>
      </c>
      <c r="H23" s="17">
        <f>VLOOKUP($B23,'MAIN DATA, Orders'!$A:$J,10,0)</f>
        <v>700000000</v>
      </c>
      <c r="I23" s="17">
        <f>VLOOKUP($B23,'MAIN DATA, Orders'!$A:$J,9,0)</f>
        <v>3</v>
      </c>
    </row>
    <row r="24" spans="2:9">
      <c r="B24" s="199" t="s">
        <v>456</v>
      </c>
      <c r="C24" s="199" t="str">
        <f>VLOOKUP($B24,'MAIN DATA, Orders'!$A:$J,3,0)</f>
        <v>Germany</v>
      </c>
      <c r="D24" s="199" t="str">
        <f>VLOOKUP($B24,'MAIN DATA, Orders'!$A:$J,5,0)</f>
        <v>Class 707 fuel transporter ship</v>
      </c>
      <c r="E24" s="199" t="str">
        <f>VLOOKUP($B24,'MAIN DATA, Orders'!$A:$J,6,0)</f>
        <v>Replenishment auxiliary ship</v>
      </c>
      <c r="F24" s="199" t="str">
        <f>VLOOKUP($B24,'MAIN DATA, Orders'!$A:$J,7,0)</f>
        <v>Naval</v>
      </c>
      <c r="G24" s="97">
        <f>VLOOKUP($B24,'MAIN DATA, Orders'!$A:$J,8,0)</f>
        <v>12</v>
      </c>
      <c r="H24" s="17">
        <f>VLOOKUP($B24,'MAIN DATA, Orders'!$A:$J,10,0)</f>
        <v>457000000</v>
      </c>
      <c r="I24" s="17">
        <f>VLOOKUP($B24,'MAIN DATA, Orders'!$A:$J,9,0)</f>
        <v>2</v>
      </c>
    </row>
    <row r="25" spans="2:9">
      <c r="B25" s="199" t="s">
        <v>462</v>
      </c>
      <c r="C25" s="199" t="str">
        <f>VLOOKUP($B25,'MAIN DATA, Orders'!$A:$J,3,0)</f>
        <v>Germany</v>
      </c>
      <c r="D25" s="199" t="str">
        <f>VLOOKUP($B25,'MAIN DATA, Orders'!$A:$J,5,0)</f>
        <v>U212 Common Design submarine</v>
      </c>
      <c r="E25" s="199" t="str">
        <f>VLOOKUP($B25,'MAIN DATA, Orders'!$A:$J,6,0)</f>
        <v>Submarine</v>
      </c>
      <c r="F25" s="199" t="str">
        <f>VLOOKUP($B25,'MAIN DATA, Orders'!$A:$J,7,0)</f>
        <v>Naval</v>
      </c>
      <c r="G25" s="97">
        <f>VLOOKUP($B25,'MAIN DATA, Orders'!$A:$J,8,0)</f>
        <v>12</v>
      </c>
      <c r="H25" s="17">
        <f>VLOOKUP($B25,'MAIN DATA, Orders'!$A:$J,10,0)</f>
        <v>1000000000</v>
      </c>
      <c r="I25" s="17">
        <f>VLOOKUP($B25,'MAIN DATA, Orders'!$A:$J,9,0)</f>
        <v>2</v>
      </c>
    </row>
    <row r="26" spans="2:9">
      <c r="B26" s="199" t="s">
        <v>482</v>
      </c>
      <c r="C26" s="199" t="str">
        <f>VLOOKUP($B26,'MAIN DATA, Orders'!$A:$J,3,0)</f>
        <v>Germany</v>
      </c>
      <c r="D26" s="199" t="str">
        <f>VLOOKUP($B26,'MAIN DATA, Orders'!$A:$J,5,0)</f>
        <v>Puma (retrofit)</v>
      </c>
      <c r="E26" s="199" t="str">
        <f>VLOOKUP($B26,'MAIN DATA, Orders'!$A:$J,6,0)</f>
        <v>Infantry fighting vehicle (IFV)</v>
      </c>
      <c r="F26" s="199" t="str">
        <f>VLOOKUP($B26,'MAIN DATA, Orders'!$A:$J,7,0)</f>
        <v>Armoured vehicle</v>
      </c>
      <c r="G26" s="97">
        <f>VLOOKUP($B26,'MAIN DATA, Orders'!$A:$J,8,0)</f>
        <v>2</v>
      </c>
      <c r="H26" s="17">
        <f>VLOOKUP($B26,'MAIN DATA, Orders'!$A:$J,10,0)</f>
        <v>6753246.7532467535</v>
      </c>
      <c r="I26" s="17">
        <f>VLOOKUP($B26,'MAIN DATA, Orders'!$A:$J,9,0)</f>
        <v>154</v>
      </c>
    </row>
    <row r="27" spans="2:9">
      <c r="B27" s="199" t="s">
        <v>488</v>
      </c>
      <c r="C27" s="199" t="str">
        <f>VLOOKUP($B27,'MAIN DATA, Orders'!$A:$J,3,0)</f>
        <v>Germany</v>
      </c>
      <c r="D27" s="199" t="str">
        <f>VLOOKUP($B27,'MAIN DATA, Orders'!$A:$J,5,0)</f>
        <v>Boxer Joint Fire Support Team (JFSTsw) prototype</v>
      </c>
      <c r="E27" s="199" t="str">
        <f>VLOOKUP($B27,'MAIN DATA, Orders'!$A:$J,6,0)</f>
        <v>Joint tactical fire support vehicle</v>
      </c>
      <c r="F27" s="199" t="str">
        <f>VLOOKUP($B27,'MAIN DATA, Orders'!$A:$J,7,0)</f>
        <v>Development - Armoured vehicle</v>
      </c>
      <c r="G27" s="97">
        <f>VLOOKUP($B27,'MAIN DATA, Orders'!$A:$J,8,0)</f>
        <v>15</v>
      </c>
      <c r="H27" s="17">
        <f>VLOOKUP($B27,'MAIN DATA, Orders'!$A:$J,10,0)</f>
        <v>35000000</v>
      </c>
      <c r="I27" s="17">
        <f>VLOOKUP($B27,'MAIN DATA, Orders'!$A:$J,9,0)</f>
        <v>2</v>
      </c>
    </row>
    <row r="28" spans="2:9">
      <c r="B28" s="199" t="s">
        <v>507</v>
      </c>
      <c r="C28" s="199" t="str">
        <f>VLOOKUP($B28,'MAIN DATA, Orders'!$A:$J,3,0)</f>
        <v>Germany</v>
      </c>
      <c r="D28" s="199" t="str">
        <f>VLOOKUP($B28,'MAIN DATA, Orders'!$A:$J,5,0)</f>
        <v>Protected ambulance (GVTC)</v>
      </c>
      <c r="E28" s="199" t="str">
        <f>VLOOKUP($B28,'MAIN DATA, Orders'!$A:$J,6,0)</f>
        <v>Armoured personnel carrier (APC)</v>
      </c>
      <c r="F28" s="199" t="str">
        <f>VLOOKUP($B28,'MAIN DATA, Orders'!$A:$J,7,0)</f>
        <v>Armoured vehicle</v>
      </c>
      <c r="G28" s="97">
        <f>VLOOKUP($B28,'MAIN DATA, Orders'!$A:$J,8,0)</f>
        <v>2</v>
      </c>
      <c r="H28" s="17">
        <f>VLOOKUP($B28,'MAIN DATA, Orders'!$A:$J,10,0)</f>
        <v>3250000</v>
      </c>
      <c r="I28" s="17">
        <f>VLOOKUP($B28,'MAIN DATA, Orders'!$A:$J,9,0)</f>
        <v>12</v>
      </c>
    </row>
    <row r="29" spans="2:9">
      <c r="B29" s="199" t="s">
        <v>515</v>
      </c>
      <c r="C29" s="199" t="str">
        <f>VLOOKUP($B29,'MAIN DATA, Orders'!$A:$J,3,0)</f>
        <v>Germany</v>
      </c>
      <c r="D29" s="199" t="str">
        <f>VLOOKUP($B29,'MAIN DATA, Orders'!$A:$J,5,0)</f>
        <v>Unprotected, all-terrain ambulance</v>
      </c>
      <c r="E29" s="199" t="str">
        <f>VLOOKUP($B29,'MAIN DATA, Orders'!$A:$J,6,0)</f>
        <v>Non-combat military vehicle</v>
      </c>
      <c r="F29" s="199" t="str">
        <f>VLOOKUP($B29,'MAIN DATA, Orders'!$A:$J,7,0)</f>
        <v>Other</v>
      </c>
      <c r="G29" s="97">
        <f>VLOOKUP($B29,'MAIN DATA, Orders'!$A:$J,8,0)</f>
        <v>16</v>
      </c>
      <c r="H29" s="17">
        <f>VLOOKUP($B29,'MAIN DATA, Orders'!$A:$J,10,0)</f>
        <v>829931.97278911562</v>
      </c>
      <c r="I29" s="17">
        <f>VLOOKUP($B29,'MAIN DATA, Orders'!$A:$J,9,0)</f>
        <v>294</v>
      </c>
    </row>
    <row r="30" spans="2:9">
      <c r="B30" s="199" t="s">
        <v>523</v>
      </c>
      <c r="C30" s="199" t="str">
        <f>VLOOKUP($B30,'MAIN DATA, Orders'!$A:$J,3,0)</f>
        <v>Germany</v>
      </c>
      <c r="D30" s="199" t="str">
        <f>VLOOKUP($B30,'MAIN DATA, Orders'!$A:$J,5,0)</f>
        <v>Class 123 frigate radar and weapons system modernisation</v>
      </c>
      <c r="E30" s="199" t="str">
        <f>VLOOKUP($B30,'MAIN DATA, Orders'!$A:$J,6,0)</f>
        <v>Frigate modernisation</v>
      </c>
      <c r="F30" s="199" t="str">
        <f>VLOOKUP($B30,'MAIN DATA, Orders'!$A:$J,7,0)</f>
        <v>Naval</v>
      </c>
      <c r="G30" s="97">
        <f>VLOOKUP($B30,'MAIN DATA, Orders'!$A:$J,8,0)</f>
        <v>12</v>
      </c>
      <c r="H30" s="17">
        <f>VLOOKUP($B30,'MAIN DATA, Orders'!$A:$J,10,0)</f>
        <v>116000000</v>
      </c>
      <c r="I30" s="17">
        <f>VLOOKUP($B30,'MAIN DATA, Orders'!$A:$J,9,0)</f>
        <v>4</v>
      </c>
    </row>
    <row r="31" spans="2:9">
      <c r="B31" s="199" t="s">
        <v>539</v>
      </c>
      <c r="C31" s="199" t="str">
        <f>VLOOKUP($B31,'MAIN DATA, Orders'!$A:$J,3,0)</f>
        <v>Germany</v>
      </c>
      <c r="D31" s="199" t="str">
        <f>VLOOKUP($B31,'MAIN DATA, Orders'!$A:$J,5,0)</f>
        <v>Class 124 frigate radar system</v>
      </c>
      <c r="E31" s="199" t="str">
        <f>VLOOKUP($B31,'MAIN DATA, Orders'!$A:$J,6,0)</f>
        <v>Frigate modernisation</v>
      </c>
      <c r="F31" s="199" t="str">
        <f>VLOOKUP($B31,'MAIN DATA, Orders'!$A:$J,7,0)</f>
        <v>Naval</v>
      </c>
      <c r="G31" s="97">
        <f>VLOOKUP($B31,'MAIN DATA, Orders'!$A:$J,8,0)</f>
        <v>12</v>
      </c>
      <c r="H31" s="17">
        <f>VLOOKUP($B31,'MAIN DATA, Orders'!$A:$J,10,0)</f>
        <v>55000000</v>
      </c>
      <c r="I31" s="17">
        <f>VLOOKUP($B31,'MAIN DATA, Orders'!$A:$J,9,0)</f>
        <v>4</v>
      </c>
    </row>
    <row r="32" spans="2:9">
      <c r="B32" s="199" t="s">
        <v>545</v>
      </c>
      <c r="C32" s="199" t="str">
        <f>VLOOKUP($B32,'MAIN DATA, Orders'!$A:$J,3,0)</f>
        <v>Germany</v>
      </c>
      <c r="D32" s="199" t="str">
        <f>VLOOKUP($B32,'MAIN DATA, Orders'!$A:$J,5,0)</f>
        <v>Seeversuch Küste (SVK) ship</v>
      </c>
      <c r="E32" s="199" t="str">
        <f>VLOOKUP($B32,'MAIN DATA, Orders'!$A:$J,6,0)</f>
        <v>Coastal trial support ship</v>
      </c>
      <c r="F32" s="199" t="str">
        <f>VLOOKUP($B32,'MAIN DATA, Orders'!$A:$J,7,0)</f>
        <v>Naval</v>
      </c>
      <c r="G32" s="97">
        <f>VLOOKUP($B32,'MAIN DATA, Orders'!$A:$J,8,0)</f>
        <v>12</v>
      </c>
      <c r="H32" s="17">
        <f>VLOOKUP($B32,'MAIN DATA, Orders'!$A:$J,10,0)</f>
        <v>47500000</v>
      </c>
      <c r="I32" s="17">
        <f>VLOOKUP($B32,'MAIN DATA, Orders'!$A:$J,9,0)</f>
        <v>2</v>
      </c>
    </row>
    <row r="33" spans="2:9">
      <c r="B33" s="199" t="s">
        <v>554</v>
      </c>
      <c r="C33" s="199" t="str">
        <f>VLOOKUP($B33,'MAIN DATA, Orders'!$A:$J,3,0)</f>
        <v>Germany</v>
      </c>
      <c r="D33" s="199" t="str">
        <f>VLOOKUP($B33,'MAIN DATA, Orders'!$A:$J,5,0)</f>
        <v>Class MJ332C minehunter command and weapon deployment system IMCMS</v>
      </c>
      <c r="E33" s="199" t="str">
        <f>VLOOKUP($B33,'MAIN DATA, Orders'!$A:$J,6,0)</f>
        <v>Minehunter ship modernisation</v>
      </c>
      <c r="F33" s="199" t="str">
        <f>VLOOKUP($B33,'MAIN DATA, Orders'!$A:$J,7,0)</f>
        <v>Naval</v>
      </c>
      <c r="G33" s="97">
        <f>VLOOKUP($B33,'MAIN DATA, Orders'!$A:$J,8,0)</f>
        <v>12</v>
      </c>
      <c r="H33" s="17">
        <f>VLOOKUP($B33,'MAIN DATA, Orders'!$A:$J,10,0)</f>
        <v>8800000</v>
      </c>
      <c r="I33" s="17">
        <f>VLOOKUP($B33,'MAIN DATA, Orders'!$A:$J,9,0)</f>
        <v>5</v>
      </c>
    </row>
    <row r="34" spans="2:9">
      <c r="B34" s="199" t="s">
        <v>559</v>
      </c>
      <c r="C34" s="199" t="str">
        <f>VLOOKUP($B34,'MAIN DATA, Orders'!$A:$J,3,0)</f>
        <v>Germany</v>
      </c>
      <c r="D34" s="199" t="str">
        <f>VLOOKUP($B34,'MAIN DATA, Orders'!$A:$J,5,0)</f>
        <v>TETRA digital radio network</v>
      </c>
      <c r="E34" s="199" t="str">
        <f>VLOOKUP($B34,'MAIN DATA, Orders'!$A:$J,6,0)</f>
        <v>Naval communication system</v>
      </c>
      <c r="F34" s="199" t="str">
        <f>VLOOKUP($B34,'MAIN DATA, Orders'!$A:$J,7,0)</f>
        <v>Naval</v>
      </c>
      <c r="G34" s="97">
        <f>VLOOKUP($B34,'MAIN DATA, Orders'!$A:$J,8,0)</f>
        <v>12</v>
      </c>
      <c r="H34" s="17">
        <f>VLOOKUP($B34,'MAIN DATA, Orders'!$A:$J,10,0)</f>
        <v>4368750</v>
      </c>
      <c r="I34" s="17">
        <f>VLOOKUP($B34,'MAIN DATA, Orders'!$A:$J,9,0)</f>
        <v>16</v>
      </c>
    </row>
    <row r="35" spans="2:9">
      <c r="B35" s="199" t="s">
        <v>566</v>
      </c>
      <c r="C35" s="199" t="str">
        <f>VLOOKUP($B35,'MAIN DATA, Orders'!$A:$J,3,0)</f>
        <v>Germany</v>
      </c>
      <c r="D35" s="199" t="str">
        <f>VLOOKUP($B35,'MAIN DATA, Orders'!$A:$J,5,0)</f>
        <v>Radar navigation system for various classes</v>
      </c>
      <c r="E35" s="199" t="str">
        <f>VLOOKUP($B35,'MAIN DATA, Orders'!$A:$J,6,0)</f>
        <v>Naval radar navigation system</v>
      </c>
      <c r="F35" s="199" t="str">
        <f>VLOOKUP($B35,'MAIN DATA, Orders'!$A:$J,7,0)</f>
        <v>Naval</v>
      </c>
      <c r="G35" s="97">
        <f>VLOOKUP($B35,'MAIN DATA, Orders'!$A:$J,8,0)</f>
        <v>12</v>
      </c>
      <c r="H35" s="17">
        <f>VLOOKUP($B35,'MAIN DATA, Orders'!$A:$J,10,0)</f>
        <v>999450</v>
      </c>
      <c r="I35" s="17">
        <f>VLOOKUP($B35,'MAIN DATA, Orders'!$A:$J,9,0)</f>
        <v>40</v>
      </c>
    </row>
    <row r="36" spans="2:9">
      <c r="B36" s="199" t="s">
        <v>579</v>
      </c>
      <c r="C36" s="199" t="str">
        <f>VLOOKUP($B36,'MAIN DATA, Orders'!$A:$J,3,0)</f>
        <v>Germany</v>
      </c>
      <c r="D36" s="199" t="str">
        <f>VLOOKUP($B36,'MAIN DATA, Orders'!$A:$J,5,0)</f>
        <v>LLM-VarioRay assault rifle laser light module</v>
      </c>
      <c r="E36" s="199" t="str">
        <f>VLOOKUP($B36,'MAIN DATA, Orders'!$A:$J,6,0)</f>
        <v>Equipment for Small Arms and Light Weapons (SALW)</v>
      </c>
      <c r="F36" s="199" t="str">
        <f>VLOOKUP($B36,'MAIN DATA, Orders'!$A:$J,7,0)</f>
        <v>Infantry</v>
      </c>
      <c r="G36" s="97">
        <f>VLOOKUP($B36,'MAIN DATA, Orders'!$A:$J,8,0)</f>
        <v>8</v>
      </c>
      <c r="H36" s="17">
        <f>VLOOKUP($B36,'MAIN DATA, Orders'!$A:$J,10,0)</f>
        <v>1219.5121951219512</v>
      </c>
      <c r="I36" s="17">
        <f>VLOOKUP($B36,'MAIN DATA, Orders'!$A:$J,9,0)</f>
        <v>2460</v>
      </c>
    </row>
    <row r="37" spans="2:9">
      <c r="B37" s="199" t="s">
        <v>663</v>
      </c>
      <c r="C37" s="199" t="str">
        <f>VLOOKUP($B37,'MAIN DATA, Orders'!$A:$J,3,0)</f>
        <v>Germany</v>
      </c>
      <c r="D37" s="199" t="str">
        <f>VLOOKUP($B37,'MAIN DATA, Orders'!$A:$J,5,0)</f>
        <v>Operational boat for Navy special forces</v>
      </c>
      <c r="E37" s="199" t="str">
        <f>VLOOKUP($B37,'MAIN DATA, Orders'!$A:$J,6,0)</f>
        <v>Medium-range operational boat</v>
      </c>
      <c r="F37" s="199" t="str">
        <f>VLOOKUP($B37,'MAIN DATA, Orders'!$A:$J,7,0)</f>
        <v>Naval</v>
      </c>
      <c r="G37" s="97">
        <f>VLOOKUP($B37,'MAIN DATA, Orders'!$A:$J,8,0)</f>
        <v>12</v>
      </c>
      <c r="H37" s="17">
        <f>VLOOKUP($B37,'MAIN DATA, Orders'!$A:$J,10,0)</f>
        <v>3888888.888888889</v>
      </c>
      <c r="I37" s="17">
        <f>VLOOKUP($B37,'MAIN DATA, Orders'!$A:$J,9,0)</f>
        <v>9</v>
      </c>
    </row>
    <row r="38" spans="2:9">
      <c r="B38" s="199" t="s">
        <v>674</v>
      </c>
      <c r="C38" s="199" t="str">
        <f>VLOOKUP($B38,'MAIN DATA, Orders'!$A:$J,3,0)</f>
        <v>Germany</v>
      </c>
      <c r="D38" s="199" t="str">
        <f>VLOOKUP($B38,'MAIN DATA, Orders'!$A:$J,5,0)</f>
        <v>System for evaluating aerial images and video transmissions</v>
      </c>
      <c r="E38" s="199" t="str">
        <f>VLOOKUP($B38,'MAIN DATA, Orders'!$A:$J,6,0)</f>
        <v>Communication and digitalisation</v>
      </c>
      <c r="F38" s="199" t="str">
        <f>VLOOKUP($B38,'MAIN DATA, Orders'!$A:$J,7,0)</f>
        <v>Modernisation</v>
      </c>
      <c r="G38" s="97">
        <f>VLOOKUP($B38,'MAIN DATA, Orders'!$A:$J,8,0)</f>
        <v>13</v>
      </c>
      <c r="H38" s="17">
        <f>VLOOKUP($B38,'MAIN DATA, Orders'!$A:$J,10,0)</f>
        <v>25250000</v>
      </c>
      <c r="I38" s="17">
        <f>VLOOKUP($B38,'MAIN DATA, Orders'!$A:$J,9,0)</f>
        <v>4</v>
      </c>
    </row>
    <row r="39" spans="2:9">
      <c r="B39" s="199" t="s">
        <v>693</v>
      </c>
      <c r="C39" s="199" t="str">
        <f>VLOOKUP($B39,'MAIN DATA, Orders'!$A:$J,3,0)</f>
        <v>Germany</v>
      </c>
      <c r="D39" s="199" t="str">
        <f>VLOOKUP($B39,'MAIN DATA, Orders'!$A:$J,5,0)</f>
        <v>Leopard 2 ammunition DM88 (training)</v>
      </c>
      <c r="E39" s="199" t="str">
        <f>VLOOKUP($B39,'MAIN DATA, Orders'!$A:$J,6,0)</f>
        <v>120mm tank ammunition</v>
      </c>
      <c r="F39" s="199" t="str">
        <f>VLOOKUP($B39,'MAIN DATA, Orders'!$A:$J,7,0)</f>
        <v>Ammunition</v>
      </c>
      <c r="G39" s="97">
        <f>VLOOKUP($B39,'MAIN DATA, Orders'!$A:$J,8,0)</f>
        <v>4</v>
      </c>
      <c r="H39" s="17">
        <f>VLOOKUP($B39,'MAIN DATA, Orders'!$A:$J,10,0)</f>
        <v>2032.3437122857833</v>
      </c>
      <c r="I39" s="17">
        <f>VLOOKUP($B39,'MAIN DATA, Orders'!$A:$J,9,0)</f>
        <v>20715</v>
      </c>
    </row>
    <row r="40" spans="2:9">
      <c r="B40" s="199" t="s">
        <v>697</v>
      </c>
      <c r="C40" s="199" t="str">
        <f>VLOOKUP($B40,'MAIN DATA, Orders'!$A:$J,3,0)</f>
        <v>Germany</v>
      </c>
      <c r="D40" s="199" t="str">
        <f>VLOOKUP($B40,'MAIN DATA, Orders'!$A:$J,5,0)</f>
        <v>RAM Block 2B missile</v>
      </c>
      <c r="E40" s="199" t="str">
        <f>VLOOKUP($B40,'MAIN DATA, Orders'!$A:$J,6,0)</f>
        <v>Naval guided surface-to-air missile (SAM)</v>
      </c>
      <c r="F40" s="199" t="str">
        <f>VLOOKUP($B40,'MAIN DATA, Orders'!$A:$J,7,0)</f>
        <v>Missile (Naval)</v>
      </c>
      <c r="G40" s="97">
        <f>VLOOKUP($B40,'MAIN DATA, Orders'!$A:$J,8,0)</f>
        <v>6</v>
      </c>
      <c r="H40" s="17">
        <f>VLOOKUP($B40,'MAIN DATA, Orders'!$A:$J,10,0)</f>
        <v>934833.33333333337</v>
      </c>
      <c r="I40" s="17">
        <f>VLOOKUP($B40,'MAIN DATA, Orders'!$A:$J,9,0)</f>
        <v>600</v>
      </c>
    </row>
    <row r="41" spans="2:9">
      <c r="B41" s="199" t="s">
        <v>709</v>
      </c>
      <c r="C41" s="199" t="str">
        <f>VLOOKUP($B41,'MAIN DATA, Orders'!$A:$J,3,0)</f>
        <v>Germany</v>
      </c>
      <c r="D41" s="199" t="str">
        <f>VLOOKUP($B41,'MAIN DATA, Orders'!$A:$J,5,0)</f>
        <v>Speaking set with hearing protection</v>
      </c>
      <c r="E41" s="199" t="str">
        <f>VLOOKUP($B41,'MAIN DATA, Orders'!$A:$J,6,0)</f>
        <v>Communication equipment</v>
      </c>
      <c r="F41" s="199" t="str">
        <f>VLOOKUP($B41,'MAIN DATA, Orders'!$A:$J,7,0)</f>
        <v>Modernisation</v>
      </c>
      <c r="G41" s="97">
        <f>VLOOKUP($B41,'MAIN DATA, Orders'!$A:$J,8,0)</f>
        <v>13</v>
      </c>
      <c r="H41" s="17">
        <f>VLOOKUP($B41,'MAIN DATA, Orders'!$A:$J,10,0)</f>
        <v>2046.3847203274215</v>
      </c>
      <c r="I41" s="17">
        <f>VLOOKUP($B41,'MAIN DATA, Orders'!$A:$J,9,0)</f>
        <v>3665</v>
      </c>
    </row>
    <row r="42" spans="2:9">
      <c r="B42" s="199" t="s">
        <v>740</v>
      </c>
      <c r="C42" s="199" t="str">
        <f>VLOOKUP($B42,'MAIN DATA, Orders'!$A:$J,3,0)</f>
        <v>Germany</v>
      </c>
      <c r="D42" s="199" t="str">
        <f>VLOOKUP($B42,'MAIN DATA, Orders'!$A:$J,5,0)</f>
        <v>G95A1 assault rifle</v>
      </c>
      <c r="E42" s="199" t="str">
        <f>VLOOKUP($B42,'MAIN DATA, Orders'!$A:$J,6,0)</f>
        <v>Small Arms and Light Weapons (SALW)</v>
      </c>
      <c r="F42" s="199" t="str">
        <f>VLOOKUP($B42,'MAIN DATA, Orders'!$A:$J,7,0)</f>
        <v>Infantry</v>
      </c>
      <c r="G42" s="97">
        <f>VLOOKUP($B42,'MAIN DATA, Orders'!$A:$J,8,0)</f>
        <v>8</v>
      </c>
      <c r="H42" s="17">
        <f>VLOOKUP($B42,'MAIN DATA, Orders'!$A:$J,10,0)</f>
        <v>1760.4744015229367</v>
      </c>
      <c r="I42" s="17">
        <f>VLOOKUP($B42,'MAIN DATA, Orders'!$A:$J,9,0)</f>
        <v>118718</v>
      </c>
    </row>
    <row r="43" spans="2:9">
      <c r="B43" s="199" t="s">
        <v>747</v>
      </c>
      <c r="C43" s="199" t="str">
        <f>VLOOKUP($B43,'MAIN DATA, Orders'!$A:$J,3,0)</f>
        <v>Germany</v>
      </c>
      <c r="D43" s="199" t="str">
        <f>VLOOKUP($B43,'MAIN DATA, Orders'!$A:$J,5,0)</f>
        <v>Puma (retrofit)</v>
      </c>
      <c r="E43" s="199" t="str">
        <f>VLOOKUP($B43,'MAIN DATA, Orders'!$A:$J,6,0)</f>
        <v>Infantry fighting vehicle (IFV)</v>
      </c>
      <c r="F43" s="199" t="str">
        <f>VLOOKUP($B43,'MAIN DATA, Orders'!$A:$J,7,0)</f>
        <v>Armoured vehicle</v>
      </c>
      <c r="G43" s="97">
        <f>VLOOKUP($B43,'MAIN DATA, Orders'!$A:$J,8,0)</f>
        <v>2</v>
      </c>
      <c r="H43" s="17">
        <f>VLOOKUP($B43,'MAIN DATA, Orders'!$A:$J,10,0)</f>
        <v>5944055.9440559437</v>
      </c>
      <c r="I43" s="17">
        <f>VLOOKUP($B43,'MAIN DATA, Orders'!$A:$J,9,0)</f>
        <v>143</v>
      </c>
    </row>
    <row r="44" spans="2:9">
      <c r="B44" s="199" t="s">
        <v>750</v>
      </c>
      <c r="C44" s="199" t="str">
        <f>VLOOKUP($B44,'MAIN DATA, Orders'!$A:$J,3,0)</f>
        <v>Germany</v>
      </c>
      <c r="D44" s="199" t="str">
        <f>VLOOKUP($B44,'MAIN DATA, Orders'!$A:$J,5,0)</f>
        <v>BvS10 Collaborative All Terrain Vehicle (CATV)</v>
      </c>
      <c r="E44" s="199" t="str">
        <f>VLOOKUP($B44,'MAIN DATA, Orders'!$A:$J,6,0)</f>
        <v>All-terrain vehicle</v>
      </c>
      <c r="F44" s="199" t="str">
        <f>VLOOKUP($B44,'MAIN DATA, Orders'!$A:$J,7,0)</f>
        <v>Armoured vehicle</v>
      </c>
      <c r="G44" s="97">
        <f>VLOOKUP($B44,'MAIN DATA, Orders'!$A:$J,8,0)</f>
        <v>2</v>
      </c>
      <c r="H44" s="17">
        <f>VLOOKUP($B44,'MAIN DATA, Orders'!$A:$J,10,0)</f>
        <v>2892857.1428571427</v>
      </c>
      <c r="I44" s="17">
        <f>VLOOKUP($B44,'MAIN DATA, Orders'!$A:$J,9,0)</f>
        <v>140</v>
      </c>
    </row>
    <row r="45" spans="2:9">
      <c r="B45" s="199" t="s">
        <v>756</v>
      </c>
      <c r="C45" s="199" t="str">
        <f>VLOOKUP($B45,'MAIN DATA, Orders'!$A:$J,3,0)</f>
        <v>Germany</v>
      </c>
      <c r="D45" s="199" t="str">
        <f>VLOOKUP($B45,'MAIN DATA, Orders'!$A:$J,5,0)</f>
        <v>Command and communication equipment</v>
      </c>
      <c r="E45" s="199" t="str">
        <f>VLOOKUP($B45,'MAIN DATA, Orders'!$A:$J,6,0)</f>
        <v>Communication equipment</v>
      </c>
      <c r="F45" s="199" t="str">
        <f>VLOOKUP($B45,'MAIN DATA, Orders'!$A:$J,7,0)</f>
        <v>Modernisation</v>
      </c>
      <c r="G45" s="97">
        <f>VLOOKUP($B45,'MAIN DATA, Orders'!$A:$J,8,0)</f>
        <v>13</v>
      </c>
      <c r="H45" s="17">
        <f>VLOOKUP($B45,'MAIN DATA, Orders'!$A:$J,10,0)</f>
        <v>107142.85714285714</v>
      </c>
      <c r="I45" s="17">
        <f>VLOOKUP($B45,'MAIN DATA, Orders'!$A:$J,9,0)</f>
        <v>476</v>
      </c>
    </row>
    <row r="46" spans="2:9">
      <c r="B46" s="199" t="s">
        <v>770</v>
      </c>
      <c r="C46" s="199" t="str">
        <f>VLOOKUP($B46,'MAIN DATA, Orders'!$A:$J,3,0)</f>
        <v>Germany</v>
      </c>
      <c r="D46" s="199" t="str">
        <f>VLOOKUP($B46,'MAIN DATA, Orders'!$A:$J,5,0)</f>
        <v>F-35A fighter jet</v>
      </c>
      <c r="E46" s="199" t="str">
        <f>VLOOKUP($B46,'MAIN DATA, Orders'!$A:$J,6,0)</f>
        <v>Fighter aircraft</v>
      </c>
      <c r="F46" s="199" t="str">
        <f>VLOOKUP($B46,'MAIN DATA, Orders'!$A:$J,7,0)</f>
        <v>Aircraft</v>
      </c>
      <c r="G46" s="97">
        <f>VLOOKUP($B46,'MAIN DATA, Orders'!$A:$J,8,0)</f>
        <v>11</v>
      </c>
      <c r="H46" s="17">
        <f>VLOOKUP($B46,'MAIN DATA, Orders'!$A:$J,10,0)</f>
        <v>237142857.14285713</v>
      </c>
      <c r="I46" s="17">
        <f>VLOOKUP($B46,'MAIN DATA, Orders'!$A:$J,9,0)</f>
        <v>35</v>
      </c>
    </row>
    <row r="47" spans="2:9">
      <c r="B47" s="199" t="s">
        <v>782</v>
      </c>
      <c r="C47" s="199" t="str">
        <f>VLOOKUP($B47,'MAIN DATA, Orders'!$A:$J,3,0)</f>
        <v>Germany</v>
      </c>
      <c r="D47" s="199" t="str">
        <f>VLOOKUP($B47,'MAIN DATA, Orders'!$A:$J,5,0)</f>
        <v>Gepard ammunition for Ukraine</v>
      </c>
      <c r="E47" s="199" t="str">
        <f>VLOOKUP($B47,'MAIN DATA, Orders'!$A:$J,6,0)</f>
        <v>35mm anti-aircraft gun tank ammunition</v>
      </c>
      <c r="F47" s="199" t="str">
        <f>VLOOKUP($B47,'MAIN DATA, Orders'!$A:$J,7,0)</f>
        <v>Ammunition</v>
      </c>
      <c r="G47" s="97">
        <f>VLOOKUP($B47,'MAIN DATA, Orders'!$A:$J,8,0)</f>
        <v>4</v>
      </c>
      <c r="H47" s="17">
        <f>VLOOKUP($B47,'MAIN DATA, Orders'!$A:$J,10,0)</f>
        <v>560</v>
      </c>
      <c r="I47" s="17">
        <f>VLOOKUP($B47,'MAIN DATA, Orders'!$A:$J,9,0)</f>
        <v>300000</v>
      </c>
    </row>
    <row r="48" spans="2:9">
      <c r="B48" s="199" t="s">
        <v>800</v>
      </c>
      <c r="C48" s="199" t="str">
        <f>VLOOKUP($B48,'MAIN DATA, Orders'!$A:$J,3,0)</f>
        <v>Germany</v>
      </c>
      <c r="D48" s="199" t="str">
        <f>VLOOKUP($B48,'MAIN DATA, Orders'!$A:$J,5,0)</f>
        <v>GTF protected transport vehicle 15t</v>
      </c>
      <c r="E48" s="199" t="str">
        <f>VLOOKUP($B48,'MAIN DATA, Orders'!$A:$J,6,0)</f>
        <v>Armoured Utility Vehicle (AUV)</v>
      </c>
      <c r="F48" s="199" t="str">
        <f>VLOOKUP($B48,'MAIN DATA, Orders'!$A:$J,7,0)</f>
        <v>Armoured vehicle</v>
      </c>
      <c r="G48" s="97">
        <f>VLOOKUP($B48,'MAIN DATA, Orders'!$A:$J,8,0)</f>
        <v>2</v>
      </c>
      <c r="H48" s="17">
        <f>VLOOKUP($B48,'MAIN DATA, Orders'!$A:$J,10,0)</f>
        <v>853043.47826086951</v>
      </c>
      <c r="I48" s="17">
        <f>VLOOKUP($B48,'MAIN DATA, Orders'!$A:$J,9,0)</f>
        <v>230</v>
      </c>
    </row>
    <row r="49" spans="2:9">
      <c r="B49" s="199" t="s">
        <v>810</v>
      </c>
      <c r="C49" s="199" t="str">
        <f>VLOOKUP($B49,'MAIN DATA, Orders'!$A:$J,3,0)</f>
        <v>Germany</v>
      </c>
      <c r="D49" s="199" t="str">
        <f>VLOOKUP($B49,'MAIN DATA, Orders'!$A:$J,5,0)</f>
        <v>Panzerhaubitze 2000</v>
      </c>
      <c r="E49" s="199" t="str">
        <f>VLOOKUP($B49,'MAIN DATA, Orders'!$A:$J,6,0)</f>
        <v>155mm howitzer</v>
      </c>
      <c r="F49" s="199" t="str">
        <f>VLOOKUP($B49,'MAIN DATA, Orders'!$A:$J,7,0)</f>
        <v>Artillery</v>
      </c>
      <c r="G49" s="97">
        <f>VLOOKUP($B49,'MAIN DATA, Orders'!$A:$J,8,0)</f>
        <v>3</v>
      </c>
      <c r="H49" s="17">
        <f>VLOOKUP($B49,'MAIN DATA, Orders'!$A:$J,10,0)</f>
        <v>18400000</v>
      </c>
      <c r="I49" s="17">
        <f>VLOOKUP($B49,'MAIN DATA, Orders'!$A:$J,9,0)</f>
        <v>10</v>
      </c>
    </row>
    <row r="50" spans="2:9">
      <c r="B50" s="199" t="s">
        <v>817</v>
      </c>
      <c r="C50" s="199" t="str">
        <f>VLOOKUP($B50,'MAIN DATA, Orders'!$A:$J,3,0)</f>
        <v>Germany</v>
      </c>
      <c r="D50" s="199" t="str">
        <f>VLOOKUP($B50,'MAIN DATA, Orders'!$A:$J,5,0)</f>
        <v>Integrated Marine Operations Rescue Center (i-MERZ)</v>
      </c>
      <c r="E50" s="199" t="str">
        <f>VLOOKUP($B50,'MAIN DATA, Orders'!$A:$J,6,0)</f>
        <v>Medical emergency facility</v>
      </c>
      <c r="F50" s="199" t="str">
        <f>VLOOKUP($B50,'MAIN DATA, Orders'!$A:$J,7,0)</f>
        <v>Naval</v>
      </c>
      <c r="G50" s="97">
        <f>VLOOKUP($B50,'MAIN DATA, Orders'!$A:$J,8,0)</f>
        <v>12</v>
      </c>
      <c r="H50" s="17">
        <f>VLOOKUP($B50,'MAIN DATA, Orders'!$A:$J,10,0)</f>
        <v>42000000</v>
      </c>
      <c r="I50" s="17">
        <f>VLOOKUP($B50,'MAIN DATA, Orders'!$A:$J,9,0)</f>
        <v>1</v>
      </c>
    </row>
    <row r="51" spans="2:9">
      <c r="B51" s="199" t="s">
        <v>823</v>
      </c>
      <c r="C51" s="199" t="str">
        <f>VLOOKUP($B51,'MAIN DATA, Orders'!$A:$J,3,0)</f>
        <v>Germany</v>
      </c>
      <c r="D51" s="199" t="str">
        <f>VLOOKUP($B51,'MAIN DATA, Orders'!$A:$J,5,0)</f>
        <v>BvS10 Collaborative All Terrain Vehicle (CATV)</v>
      </c>
      <c r="E51" s="199" t="str">
        <f>VLOOKUP($B51,'MAIN DATA, Orders'!$A:$J,6,0)</f>
        <v>All-terrain vehicle</v>
      </c>
      <c r="F51" s="199" t="str">
        <f>VLOOKUP($B51,'MAIN DATA, Orders'!$A:$J,7,0)</f>
        <v>Armoured vehicle</v>
      </c>
      <c r="G51" s="97">
        <f>VLOOKUP($B51,'MAIN DATA, Orders'!$A:$J,8,0)</f>
        <v>2</v>
      </c>
      <c r="H51" s="17">
        <f>VLOOKUP($B51,'MAIN DATA, Orders'!$A:$J,10,0)</f>
        <v>4048458.1497797356</v>
      </c>
      <c r="I51" s="17">
        <f>VLOOKUP($B51,'MAIN DATA, Orders'!$A:$J,9,0)</f>
        <v>227</v>
      </c>
    </row>
    <row r="52" spans="2:9">
      <c r="B52" s="199" t="s">
        <v>880</v>
      </c>
      <c r="C52" s="199" t="str">
        <f>VLOOKUP($B52,'MAIN DATA, Orders'!$A:$J,3,0)</f>
        <v>Germany</v>
      </c>
      <c r="D52" s="199" t="str">
        <f>VLOOKUP($B52,'MAIN DATA, Orders'!$A:$J,5,0)</f>
        <v>Tractor unit 70t</v>
      </c>
      <c r="E52" s="199" t="str">
        <f>VLOOKUP($B52,'MAIN DATA, Orders'!$A:$J,6,0)</f>
        <v>Non-combat military vehicle</v>
      </c>
      <c r="F52" s="199" t="str">
        <f>VLOOKUP($B52,'MAIN DATA, Orders'!$A:$J,7,0)</f>
        <v>Other</v>
      </c>
      <c r="G52" s="97">
        <f>VLOOKUP($B52,'MAIN DATA, Orders'!$A:$J,8,0)</f>
        <v>16</v>
      </c>
      <c r="H52" s="17">
        <f>VLOOKUP($B52,'MAIN DATA, Orders'!$A:$J,10,0)</f>
        <v>894736.84210526315</v>
      </c>
      <c r="I52" s="17">
        <f>VLOOKUP($B52,'MAIN DATA, Orders'!$A:$J,9,0)</f>
        <v>57</v>
      </c>
    </row>
    <row r="53" spans="2:9">
      <c r="B53" s="199" t="s">
        <v>886</v>
      </c>
      <c r="C53" s="199" t="str">
        <f>VLOOKUP($B53,'MAIN DATA, Orders'!$A:$J,3,0)</f>
        <v>Germany</v>
      </c>
      <c r="D53" s="199" t="str">
        <f>VLOOKUP($B53,'MAIN DATA, Orders'!$A:$J,5,0)</f>
        <v>Puma</v>
      </c>
      <c r="E53" s="199" t="str">
        <f>VLOOKUP($B53,'MAIN DATA, Orders'!$A:$J,6,0)</f>
        <v>Infantry fighting vehicle (IFV)</v>
      </c>
      <c r="F53" s="199" t="str">
        <f>VLOOKUP($B53,'MAIN DATA, Orders'!$A:$J,7,0)</f>
        <v>Armoured vehicle</v>
      </c>
      <c r="G53" s="97">
        <f>VLOOKUP($B53,'MAIN DATA, Orders'!$A:$J,8,0)</f>
        <v>2</v>
      </c>
      <c r="H53" s="17">
        <f>VLOOKUP($B53,'MAIN DATA, Orders'!$A:$J,10,0)</f>
        <v>21740000</v>
      </c>
      <c r="I53" s="17">
        <f>VLOOKUP($B53,'MAIN DATA, Orders'!$A:$J,9,0)</f>
        <v>50</v>
      </c>
    </row>
    <row r="54" spans="2:9">
      <c r="B54" s="199" t="s">
        <v>893</v>
      </c>
      <c r="C54" s="199" t="str">
        <f>VLOOKUP($B54,'MAIN DATA, Orders'!$A:$J,3,0)</f>
        <v>Germany</v>
      </c>
      <c r="D54" s="199" t="str">
        <f>VLOOKUP($B54,'MAIN DATA, Orders'!$A:$J,5,0)</f>
        <v>Fire engine</v>
      </c>
      <c r="E54" s="199" t="str">
        <f>VLOOKUP($B54,'MAIN DATA, Orders'!$A:$J,6,0)</f>
        <v>Non-combat military vehicle</v>
      </c>
      <c r="F54" s="199" t="str">
        <f>VLOOKUP($B54,'MAIN DATA, Orders'!$A:$J,7,0)</f>
        <v>Other</v>
      </c>
      <c r="G54" s="97">
        <f>VLOOKUP($B54,'MAIN DATA, Orders'!$A:$J,8,0)</f>
        <v>16</v>
      </c>
      <c r="H54" s="17">
        <f>VLOOKUP($B54,'MAIN DATA, Orders'!$A:$J,10,0)</f>
        <v>1142857.142857143</v>
      </c>
      <c r="I54" s="17">
        <f>VLOOKUP($B54,'MAIN DATA, Orders'!$A:$J,9,0)</f>
        <v>28</v>
      </c>
    </row>
    <row r="55" spans="2:9">
      <c r="B55" s="199" t="s">
        <v>896</v>
      </c>
      <c r="C55" s="199" t="str">
        <f>VLOOKUP($B55,'MAIN DATA, Orders'!$A:$J,3,0)</f>
        <v>Germany</v>
      </c>
      <c r="D55" s="199" t="str">
        <f>VLOOKUP($B55,'MAIN DATA, Orders'!$A:$J,5,0)</f>
        <v>Leopard 2 A8</v>
      </c>
      <c r="E55" s="199" t="str">
        <f>VLOOKUP($B55,'MAIN DATA, Orders'!$A:$J,6,0)</f>
        <v>Main Battle Tank (MBT)</v>
      </c>
      <c r="F55" s="199" t="str">
        <f>VLOOKUP($B55,'MAIN DATA, Orders'!$A:$J,7,0)</f>
        <v>Tank</v>
      </c>
      <c r="G55" s="97">
        <f>VLOOKUP($B55,'MAIN DATA, Orders'!$A:$J,8,0)</f>
        <v>1</v>
      </c>
      <c r="H55" s="17">
        <f>VLOOKUP($B55,'MAIN DATA, Orders'!$A:$J,10,0)</f>
        <v>29200000</v>
      </c>
      <c r="I55" s="17">
        <f>VLOOKUP($B55,'MAIN DATA, Orders'!$A:$J,9,0)</f>
        <v>18</v>
      </c>
    </row>
    <row r="56" spans="2:9">
      <c r="B56" s="199" t="s">
        <v>903</v>
      </c>
      <c r="C56" s="199" t="str">
        <f>VLOOKUP($B56,'MAIN DATA, Orders'!$A:$J,3,0)</f>
        <v>Germany</v>
      </c>
      <c r="D56" s="199" t="str">
        <f>VLOOKUP($B56,'MAIN DATA, Orders'!$A:$J,5,0)</f>
        <v>Panzerhaubitze 2000</v>
      </c>
      <c r="E56" s="199" t="str">
        <f>VLOOKUP($B56,'MAIN DATA, Orders'!$A:$J,6,0)</f>
        <v>155mm howitzer</v>
      </c>
      <c r="F56" s="199" t="str">
        <f>VLOOKUP($B56,'MAIN DATA, Orders'!$A:$J,7,0)</f>
        <v>Artillery</v>
      </c>
      <c r="G56" s="97">
        <f>VLOOKUP($B56,'MAIN DATA, Orders'!$A:$J,8,0)</f>
        <v>3</v>
      </c>
      <c r="H56" s="17">
        <f>VLOOKUP($B56,'MAIN DATA, Orders'!$A:$J,10,0)</f>
        <v>15891666.666666666</v>
      </c>
      <c r="I56" s="17">
        <f>VLOOKUP($B56,'MAIN DATA, Orders'!$A:$J,9,0)</f>
        <v>12</v>
      </c>
    </row>
    <row r="57" spans="2:9">
      <c r="B57" s="199" t="s">
        <v>907</v>
      </c>
      <c r="C57" s="199" t="str">
        <f>VLOOKUP($B57,'MAIN DATA, Orders'!$A:$J,3,0)</f>
        <v>Germany</v>
      </c>
      <c r="D57" s="199" t="str">
        <f>VLOOKUP($B57,'MAIN DATA, Orders'!$A:$J,5,0)</f>
        <v>P-8A Poseidon (simulator)</v>
      </c>
      <c r="E57" s="199" t="str">
        <f>VLOOKUP($B57,'MAIN DATA, Orders'!$A:$J,6,0)</f>
        <v>Maritime reconnaissance patrol aircraft</v>
      </c>
      <c r="F57" s="199" t="str">
        <f>VLOOKUP($B57,'MAIN DATA, Orders'!$A:$J,7,0)</f>
        <v>Naval</v>
      </c>
      <c r="G57" s="97">
        <f>VLOOKUP($B57,'MAIN DATA, Orders'!$A:$J,8,0)</f>
        <v>12</v>
      </c>
      <c r="H57" s="17">
        <f>VLOOKUP($B57,'MAIN DATA, Orders'!$A:$J,10,0)</f>
        <v>180000000</v>
      </c>
      <c r="I57" s="17">
        <f>VLOOKUP($B57,'MAIN DATA, Orders'!$A:$J,9,0)</f>
        <v>1</v>
      </c>
    </row>
    <row r="58" spans="2:9">
      <c r="B58" s="199" t="s">
        <v>913</v>
      </c>
      <c r="C58" s="199" t="str">
        <f>VLOOKUP($B58,'MAIN DATA, Orders'!$A:$J,3,0)</f>
        <v>Germany</v>
      </c>
      <c r="D58" s="199" t="str">
        <f>VLOOKUP($B58,'MAIN DATA, Orders'!$A:$J,5,0)</f>
        <v>Iris-T SLM air defence system</v>
      </c>
      <c r="E58" s="199" t="str">
        <f>VLOOKUP($B58,'MAIN DATA, Orders'!$A:$J,6,0)</f>
        <v>Anti-aircraft surface-to-air missile (SAM) system (medium-range)</v>
      </c>
      <c r="F58" s="199" t="str">
        <f>VLOOKUP($B58,'MAIN DATA, Orders'!$A:$J,7,0)</f>
        <v>Air defence system</v>
      </c>
      <c r="G58" s="97">
        <f>VLOOKUP($B58,'MAIN DATA, Orders'!$A:$J,8,0)</f>
        <v>5</v>
      </c>
      <c r="H58" s="17">
        <f>VLOOKUP($B58,'MAIN DATA, Orders'!$A:$J,10,0)</f>
        <v>158333333.33333334</v>
      </c>
      <c r="I58" s="17">
        <f>VLOOKUP($B58,'MAIN DATA, Orders'!$A:$J,9,0)</f>
        <v>6</v>
      </c>
    </row>
    <row r="59" spans="2:9">
      <c r="B59" s="199" t="s">
        <v>936</v>
      </c>
      <c r="C59" s="199" t="str">
        <f>VLOOKUP($B59,'MAIN DATA, Orders'!$A:$J,3,0)</f>
        <v>Germany</v>
      </c>
      <c r="D59" s="199" t="str">
        <f>VLOOKUP($B59,'MAIN DATA, Orders'!$A:$J,5,0)</f>
        <v>CH-47F Chinook Block II</v>
      </c>
      <c r="E59" s="199" t="str">
        <f>VLOOKUP($B59,'MAIN DATA, Orders'!$A:$J,6,0)</f>
        <v>Heavy transport helicopter</v>
      </c>
      <c r="F59" s="199" t="str">
        <f>VLOOKUP($B59,'MAIN DATA, Orders'!$A:$J,7,0)</f>
        <v>Helicopter</v>
      </c>
      <c r="G59" s="97">
        <f>VLOOKUP($B59,'MAIN DATA, Orders'!$A:$J,8,0)</f>
        <v>10</v>
      </c>
      <c r="H59" s="17">
        <f>VLOOKUP($B59,'MAIN DATA, Orders'!$A:$J,10,0)</f>
        <v>116333333.33333333</v>
      </c>
      <c r="I59" s="17">
        <f>VLOOKUP($B59,'MAIN DATA, Orders'!$A:$J,9,0)</f>
        <v>60</v>
      </c>
    </row>
    <row r="60" spans="2:9">
      <c r="B60" s="199" t="s">
        <v>941</v>
      </c>
      <c r="C60" s="199" t="str">
        <f>VLOOKUP($B60,'MAIN DATA, Orders'!$A:$J,3,0)</f>
        <v>Germany</v>
      </c>
      <c r="D60" s="199" t="str">
        <f>VLOOKUP($B60,'MAIN DATA, Orders'!$A:$J,5,0)</f>
        <v>Class 424 fleet service ship - contract adjustment</v>
      </c>
      <c r="E60" s="199" t="str">
        <f>VLOOKUP($B60,'MAIN DATA, Orders'!$A:$J,6,0)</f>
        <v>Reconnaissance ship - contract adjustment</v>
      </c>
      <c r="F60" s="199" t="str">
        <f>VLOOKUP($B60,'MAIN DATA, Orders'!$A:$J,7,0)</f>
        <v>Naval</v>
      </c>
      <c r="G60" s="97">
        <f>VLOOKUP($B60,'MAIN DATA, Orders'!$A:$J,8,0)</f>
        <v>12</v>
      </c>
      <c r="H60" s="17">
        <f>VLOOKUP($B60,'MAIN DATA, Orders'!$A:$J,10,0)</f>
        <v>386666666.66666669</v>
      </c>
      <c r="I60" s="17">
        <f>VLOOKUP($B60,'MAIN DATA, Orders'!$A:$J,9,0)</f>
        <v>3</v>
      </c>
    </row>
    <row r="61" spans="2:9">
      <c r="B61" s="199" t="s">
        <v>946</v>
      </c>
      <c r="C61" s="199" t="str">
        <f>VLOOKUP($B61,'MAIN DATA, Orders'!$A:$J,3,0)</f>
        <v>Germany</v>
      </c>
      <c r="D61" s="199" t="str">
        <f>VLOOKUP($B61,'MAIN DATA, Orders'!$A:$J,5,0)</f>
        <v>Caracal airborne vehicle</v>
      </c>
      <c r="E61" s="199" t="str">
        <f>VLOOKUP($B61,'MAIN DATA, Orders'!$A:$J,6,0)</f>
        <v>Light air assault vehicle</v>
      </c>
      <c r="F61" s="199" t="str">
        <f>VLOOKUP($B61,'MAIN DATA, Orders'!$A:$J,7,0)</f>
        <v>Armoured vehicle</v>
      </c>
      <c r="G61" s="97">
        <f>VLOOKUP($B61,'MAIN DATA, Orders'!$A:$J,8,0)</f>
        <v>2</v>
      </c>
      <c r="H61" s="17">
        <f>VLOOKUP($B61,'MAIN DATA, Orders'!$A:$J,10,0)</f>
        <v>576923.07692307688</v>
      </c>
      <c r="I61" s="17">
        <f>VLOOKUP($B61,'MAIN DATA, Orders'!$A:$J,9,0)</f>
        <v>1508</v>
      </c>
    </row>
    <row r="62" spans="2:9">
      <c r="B62" s="199" t="s">
        <v>952</v>
      </c>
      <c r="C62" s="199" t="str">
        <f>VLOOKUP($B62,'MAIN DATA, Orders'!$A:$J,3,0)</f>
        <v>Germany</v>
      </c>
      <c r="D62" s="199" t="str">
        <f>VLOOKUP($B62,'MAIN DATA, Orders'!$A:$J,5,0)</f>
        <v>155mm artillery round DiNa for Ukraine</v>
      </c>
      <c r="E62" s="199" t="str">
        <f>VLOOKUP($B62,'MAIN DATA, Orders'!$A:$J,6,0)</f>
        <v>155mm howitzer ammunition</v>
      </c>
      <c r="F62" s="199" t="str">
        <f>VLOOKUP($B62,'MAIN DATA, Orders'!$A:$J,7,0)</f>
        <v>Ammunition</v>
      </c>
      <c r="G62" s="97">
        <f>VLOOKUP($B62,'MAIN DATA, Orders'!$A:$J,8,0)</f>
        <v>4</v>
      </c>
      <c r="H62" s="17">
        <f>VLOOKUP($B62,'MAIN DATA, Orders'!$A:$J,10,0)</f>
        <v>5808.510638297872</v>
      </c>
      <c r="I62" s="17">
        <f>VLOOKUP($B62,'MAIN DATA, Orders'!$A:$J,9,0)</f>
        <v>4700</v>
      </c>
    </row>
    <row r="63" spans="2:9">
      <c r="B63" s="199" t="s">
        <v>991</v>
      </c>
      <c r="C63" s="199" t="str">
        <f>VLOOKUP($B63,'MAIN DATA, Orders'!$A:$J,3,0)</f>
        <v>Germany</v>
      </c>
      <c r="D63" s="199" t="str">
        <f>VLOOKUP($B63,'MAIN DATA, Orders'!$A:$J,5,0)</f>
        <v>7.62mm cartridge (training)</v>
      </c>
      <c r="E63" s="199" t="str">
        <f>VLOOKUP($B63,'MAIN DATA, Orders'!$A:$J,6,0)</f>
        <v>Small Arms and Light Weapons (SALW) ammunition</v>
      </c>
      <c r="F63" s="199" t="str">
        <f>VLOOKUP($B63,'MAIN DATA, Orders'!$A:$J,7,0)</f>
        <v>Infantry</v>
      </c>
      <c r="G63" s="97">
        <f>VLOOKUP($B63,'MAIN DATA, Orders'!$A:$J,8,0)</f>
        <v>8</v>
      </c>
      <c r="H63" s="17">
        <f>VLOOKUP($B63,'MAIN DATA, Orders'!$A:$J,10,0)</f>
        <v>0.97037037037037033</v>
      </c>
      <c r="I63" s="17">
        <f>VLOOKUP($B63,'MAIN DATA, Orders'!$A:$J,9,0)</f>
        <v>135000000</v>
      </c>
    </row>
    <row r="64" spans="2:9">
      <c r="B64" s="199" t="s">
        <v>997</v>
      </c>
      <c r="C64" s="199" t="str">
        <f>VLOOKUP($B64,'MAIN DATA, Orders'!$A:$J,3,0)</f>
        <v>Germany</v>
      </c>
      <c r="D64" s="199" t="str">
        <f>VLOOKUP($B64,'MAIN DATA, Orders'!$A:$J,5,0)</f>
        <v>HUSAR system</v>
      </c>
      <c r="E64" s="199" t="str">
        <f>VLOOKUP($B64,'MAIN DATA, Orders'!$A:$J,6,0)</f>
        <v>Air-supported reconnaissance drone</v>
      </c>
      <c r="F64" s="199" t="str">
        <f>VLOOKUP($B64,'MAIN DATA, Orders'!$A:$J,7,0)</f>
        <v>Drone</v>
      </c>
      <c r="G64" s="97">
        <f>VLOOKUP($B64,'MAIN DATA, Orders'!$A:$J,8,0)</f>
        <v>7</v>
      </c>
      <c r="H64" s="17">
        <f>VLOOKUP($B64,'MAIN DATA, Orders'!$A:$J,10,0)</f>
        <v>18353846.153846152</v>
      </c>
      <c r="I64" s="17">
        <f>VLOOKUP($B64,'MAIN DATA, Orders'!$A:$J,9,0)</f>
        <v>13</v>
      </c>
    </row>
    <row r="65" spans="2:9">
      <c r="B65" s="199" t="s">
        <v>1009</v>
      </c>
      <c r="C65" s="199" t="str">
        <f>VLOOKUP($B65,'MAIN DATA, Orders'!$A:$J,3,0)</f>
        <v>Germany</v>
      </c>
      <c r="D65" s="199" t="str">
        <f>VLOOKUP($B65,'MAIN DATA, Orders'!$A:$J,5,0)</f>
        <v>Arrow 3</v>
      </c>
      <c r="E65" s="199" t="str">
        <f>VLOOKUP($B65,'MAIN DATA, Orders'!$A:$J,6,0)</f>
        <v>Surface-to-air missile (SAM) system</v>
      </c>
      <c r="F65" s="199" t="str">
        <f>VLOOKUP($B65,'MAIN DATA, Orders'!$A:$J,7,0)</f>
        <v>Air defence system</v>
      </c>
      <c r="G65" s="97">
        <f>VLOOKUP($B65,'MAIN DATA, Orders'!$A:$J,8,0)</f>
        <v>5</v>
      </c>
      <c r="H65" s="17">
        <f>VLOOKUP($B65,'MAIN DATA, Orders'!$A:$J,10,0)</f>
        <v>4000000000</v>
      </c>
      <c r="I65" s="17">
        <f>VLOOKUP($B65,'MAIN DATA, Orders'!$A:$J,9,0)</f>
        <v>1</v>
      </c>
    </row>
    <row r="66" spans="2:9">
      <c r="B66" s="199" t="s">
        <v>1016</v>
      </c>
      <c r="C66" s="199" t="str">
        <f>VLOOKUP($B66,'MAIN DATA, Orders'!$A:$J,3,0)</f>
        <v>Germany</v>
      </c>
      <c r="D66" s="199" t="str">
        <f>VLOOKUP($B66,'MAIN DATA, Orders'!$A:$J,5,0)</f>
        <v>Long-range autonomous underwater vehicle</v>
      </c>
      <c r="E66" s="199" t="str">
        <f>VLOOKUP($B66,'MAIN DATA, Orders'!$A:$J,6,0)</f>
        <v>Underwater reconnaissance drone</v>
      </c>
      <c r="F66" s="199" t="str">
        <f>VLOOKUP($B66,'MAIN DATA, Orders'!$A:$J,7,0)</f>
        <v>Drone</v>
      </c>
      <c r="G66" s="97">
        <f>VLOOKUP($B66,'MAIN DATA, Orders'!$A:$J,8,0)</f>
        <v>7</v>
      </c>
      <c r="H66" s="17">
        <f>VLOOKUP($B66,'MAIN DATA, Orders'!$A:$J,10,0)</f>
        <v>13125000</v>
      </c>
      <c r="I66" s="17">
        <f>VLOOKUP($B66,'MAIN DATA, Orders'!$A:$J,9,0)</f>
        <v>4</v>
      </c>
    </row>
    <row r="67" spans="2:9">
      <c r="B67" s="199" t="s">
        <v>1019</v>
      </c>
      <c r="C67" s="199" t="str">
        <f>VLOOKUP($B67,'MAIN DATA, Orders'!$A:$J,3,0)</f>
        <v>Germany</v>
      </c>
      <c r="D67" s="199" t="str">
        <f>VLOOKUP($B67,'MAIN DATA, Orders'!$A:$J,5,0)</f>
        <v>Panzerabwehrrichtminen Deutsches Modell 22 (PARM DM22)</v>
      </c>
      <c r="E67" s="199" t="str">
        <f>VLOOKUP($B67,'MAIN DATA, Orders'!$A:$J,6,0)</f>
        <v>Anti-tank directional mine</v>
      </c>
      <c r="F67" s="199" t="str">
        <f>VLOOKUP($B67,'MAIN DATA, Orders'!$A:$J,7,0)</f>
        <v>Mine</v>
      </c>
      <c r="G67" s="97">
        <f>VLOOKUP($B67,'MAIN DATA, Orders'!$A:$J,8,0)</f>
        <v>9</v>
      </c>
      <c r="H67" s="17">
        <f>VLOOKUP($B67,'MAIN DATA, Orders'!$A:$J,10,0)</f>
        <v>26153.846153846152</v>
      </c>
      <c r="I67" s="17">
        <f>VLOOKUP($B67,'MAIN DATA, Orders'!$A:$J,9,0)</f>
        <v>2600</v>
      </c>
    </row>
    <row r="68" spans="2:9">
      <c r="B68" s="199" t="s">
        <v>1028</v>
      </c>
      <c r="C68" s="199" t="str">
        <f>VLOOKUP($B68,'MAIN DATA, Orders'!$A:$J,3,0)</f>
        <v>Germany</v>
      </c>
      <c r="D68" s="199" t="str">
        <f>VLOOKUP($B68,'MAIN DATA, Orders'!$A:$J,5,0)</f>
        <v>Encrypted telephone</v>
      </c>
      <c r="E68" s="199" t="str">
        <f>VLOOKUP($B68,'MAIN DATA, Orders'!$A:$J,6,0)</f>
        <v>Communication equipment</v>
      </c>
      <c r="F68" s="199" t="str">
        <f>VLOOKUP($B68,'MAIN DATA, Orders'!$A:$J,7,0)</f>
        <v>Modernisation</v>
      </c>
      <c r="G68" s="97">
        <f>VLOOKUP($B68,'MAIN DATA, Orders'!$A:$J,8,0)</f>
        <v>13</v>
      </c>
      <c r="H68" s="17">
        <f>VLOOKUP($B68,'MAIN DATA, Orders'!$A:$J,10,0)</f>
        <v>51851.851851851854</v>
      </c>
      <c r="I68" s="17">
        <f>VLOOKUP($B68,'MAIN DATA, Orders'!$A:$J,9,0)</f>
        <v>1350</v>
      </c>
    </row>
    <row r="69" spans="2:9">
      <c r="B69" s="199" t="s">
        <v>1031</v>
      </c>
      <c r="C69" s="199" t="str">
        <f>VLOOKUP($B69,'MAIN DATA, Orders'!$A:$J,3,0)</f>
        <v>Germany</v>
      </c>
      <c r="D69" s="199" t="str">
        <f>VLOOKUP($B69,'MAIN DATA, Orders'!$A:$J,5,0)</f>
        <v>Cryptographic and radio device for Patriot system</v>
      </c>
      <c r="E69" s="199" t="str">
        <f>VLOOKUP($B69,'MAIN DATA, Orders'!$A:$J,6,0)</f>
        <v>Anti-aircraft surface-to-air missile (SAM) system (long-range) equipment</v>
      </c>
      <c r="F69" s="199" t="str">
        <f>VLOOKUP($B69,'MAIN DATA, Orders'!$A:$J,7,0)</f>
        <v>Air defence system</v>
      </c>
      <c r="G69" s="97">
        <f>VLOOKUP($B69,'MAIN DATA, Orders'!$A:$J,8,0)</f>
        <v>5</v>
      </c>
      <c r="H69" s="17">
        <f>VLOOKUP($B69,'MAIN DATA, Orders'!$A:$J,10,0)</f>
        <v>794117.6470588235</v>
      </c>
      <c r="I69" s="17">
        <f>VLOOKUP($B69,'MAIN DATA, Orders'!$A:$J,9,0)</f>
        <v>51</v>
      </c>
    </row>
    <row r="70" spans="2:9">
      <c r="B70" s="199" t="s">
        <v>1034</v>
      </c>
      <c r="C70" s="199" t="str">
        <f>VLOOKUP($B70,'MAIN DATA, Orders'!$A:$J,3,0)</f>
        <v>Germany</v>
      </c>
      <c r="D70" s="199" t="str">
        <f>VLOOKUP($B70,'MAIN DATA, Orders'!$A:$J,5,0)</f>
        <v>Receiver card for GPS M-Code</v>
      </c>
      <c r="E70" s="199" t="str">
        <f>VLOOKUP($B70,'MAIN DATA, Orders'!$A:$J,6,0)</f>
        <v>Communication equipment</v>
      </c>
      <c r="F70" s="199" t="str">
        <f>VLOOKUP($B70,'MAIN DATA, Orders'!$A:$J,7,0)</f>
        <v>Modernisation</v>
      </c>
      <c r="G70" s="97">
        <f>VLOOKUP($B70,'MAIN DATA, Orders'!$A:$J,8,0)</f>
        <v>13</v>
      </c>
      <c r="H70" s="17">
        <f>VLOOKUP($B70,'MAIN DATA, Orders'!$A:$J,10,0)</f>
        <v>5685.5818061382206</v>
      </c>
      <c r="I70" s="17">
        <f>VLOOKUP($B70,'MAIN DATA, Orders'!$A:$J,9,0)</f>
        <v>9058</v>
      </c>
    </row>
    <row r="71" spans="2:9">
      <c r="B71" s="199" t="s">
        <v>1047</v>
      </c>
      <c r="C71" s="199" t="str">
        <f>VLOOKUP($B71,'MAIN DATA, Orders'!$A:$J,3,0)</f>
        <v>Germany</v>
      </c>
      <c r="D71" s="199" t="str">
        <f>VLOOKUP($B71,'MAIN DATA, Orders'!$A:$J,5,0)</f>
        <v>Dingo 2 A4.1</v>
      </c>
      <c r="E71" s="199" t="str">
        <f>VLOOKUP($B71,'MAIN DATA, Orders'!$A:$J,6,0)</f>
        <v>Infantry mobility vehicle</v>
      </c>
      <c r="F71" s="199" t="str">
        <f>VLOOKUP($B71,'MAIN DATA, Orders'!$A:$J,7,0)</f>
        <v>Armoured vehicle</v>
      </c>
      <c r="G71" s="97">
        <f>VLOOKUP($B71,'MAIN DATA, Orders'!$A:$J,8,0)</f>
        <v>2</v>
      </c>
      <c r="H71" s="17">
        <f>VLOOKUP($B71,'MAIN DATA, Orders'!$A:$J,10,0)</f>
        <v>3000000</v>
      </c>
      <c r="I71" s="17">
        <f>VLOOKUP($B71,'MAIN DATA, Orders'!$A:$J,9,0)</f>
        <v>50</v>
      </c>
    </row>
    <row r="72" spans="2:9">
      <c r="B72" s="199" t="s">
        <v>1054</v>
      </c>
      <c r="C72" s="199" t="str">
        <f>VLOOKUP($B72,'MAIN DATA, Orders'!$A:$J,3,0)</f>
        <v>Germany</v>
      </c>
      <c r="D72" s="199" t="str">
        <f>VLOOKUP($B72,'MAIN DATA, Orders'!$A:$J,5,0)</f>
        <v>P-8A Poseidon</v>
      </c>
      <c r="E72" s="199" t="str">
        <f>VLOOKUP($B72,'MAIN DATA, Orders'!$A:$J,6,0)</f>
        <v>Maritime reconnaissance patrol aircraft</v>
      </c>
      <c r="F72" s="199" t="str">
        <f>VLOOKUP($B72,'MAIN DATA, Orders'!$A:$J,7,0)</f>
        <v>Naval</v>
      </c>
      <c r="G72" s="97">
        <f>VLOOKUP($B72,'MAIN DATA, Orders'!$A:$J,8,0)</f>
        <v>12</v>
      </c>
      <c r="H72" s="17">
        <f>VLOOKUP($B72,'MAIN DATA, Orders'!$A:$J,10,0)</f>
        <v>366666666.66666669</v>
      </c>
      <c r="I72" s="17">
        <f>VLOOKUP($B72,'MAIN DATA, Orders'!$A:$J,9,0)</f>
        <v>3</v>
      </c>
    </row>
    <row r="73" spans="2:9">
      <c r="B73" s="199" t="s">
        <v>1059</v>
      </c>
      <c r="C73" s="199" t="str">
        <f>VLOOKUP($B73,'MAIN DATA, Orders'!$A:$J,3,0)</f>
        <v>Germany</v>
      </c>
      <c r="D73" s="199" t="str">
        <f>VLOOKUP($B73,'MAIN DATA, Orders'!$A:$J,5,0)</f>
        <v>IR-BIRDIE decoy target</v>
      </c>
      <c r="E73" s="199" t="str">
        <f>VLOOKUP($B73,'MAIN DATA, Orders'!$A:$J,6,0)</f>
        <v>Infrared decoy target</v>
      </c>
      <c r="F73" s="199" t="str">
        <f>VLOOKUP($B73,'MAIN DATA, Orders'!$A:$J,7,0)</f>
        <v>Aircraft</v>
      </c>
      <c r="G73" s="97" t="str">
        <f>VLOOKUP($B73,'MAIN DATA, Orders'!$A:$J,8,0)</f>
        <v>11</v>
      </c>
      <c r="H73" s="17">
        <f>VLOOKUP($B73,'MAIN DATA, Orders'!$A:$J,10,0)</f>
        <v>103.51054001847653</v>
      </c>
      <c r="I73" s="17">
        <f>VLOOKUP($B73,'MAIN DATA, Orders'!$A:$J,9,0)</f>
        <v>476280</v>
      </c>
    </row>
    <row r="74" spans="2:9">
      <c r="B74" s="199" t="s">
        <v>1075</v>
      </c>
      <c r="C74" s="199" t="str">
        <f>VLOOKUP($B74,'MAIN DATA, Orders'!$A:$J,3,0)</f>
        <v>Germany</v>
      </c>
      <c r="D74" s="199" t="str">
        <f>VLOOKUP($B74,'MAIN DATA, Orders'!$A:$J,5,0)</f>
        <v>155mm artillery round for Ukraine</v>
      </c>
      <c r="E74" s="199" t="str">
        <f>VLOOKUP($B74,'MAIN DATA, Orders'!$A:$J,6,0)</f>
        <v>155mm howitzer ammunition</v>
      </c>
      <c r="F74" s="199" t="str">
        <f>VLOOKUP($B74,'MAIN DATA, Orders'!$A:$J,7,0)</f>
        <v>Ammunition</v>
      </c>
      <c r="G74" s="97">
        <f>VLOOKUP($B74,'MAIN DATA, Orders'!$A:$J,8,0)</f>
        <v>4</v>
      </c>
      <c r="H74" s="17">
        <f>VLOOKUP($B74,'MAIN DATA, Orders'!$A:$J,10,0)</f>
        <v>4088.2352941176468</v>
      </c>
      <c r="I74" s="17">
        <f>VLOOKUP($B74,'MAIN DATA, Orders'!$A:$J,9,0)</f>
        <v>68000</v>
      </c>
    </row>
    <row r="75" spans="2:9">
      <c r="B75" s="199" t="s">
        <v>1083</v>
      </c>
      <c r="C75" s="199" t="str">
        <f>VLOOKUP($B75,'MAIN DATA, Orders'!$A:$J,3,0)</f>
        <v>Germany</v>
      </c>
      <c r="D75" s="199" t="str">
        <f>VLOOKUP($B75,'MAIN DATA, Orders'!$A:$J,5,0)</f>
        <v>H145M helicopter</v>
      </c>
      <c r="E75" s="199" t="str">
        <f>VLOOKUP($B75,'MAIN DATA, Orders'!$A:$J,6,0)</f>
        <v>Light attack helicopter</v>
      </c>
      <c r="F75" s="199" t="str">
        <f>VLOOKUP($B75,'MAIN DATA, Orders'!$A:$J,7,0)</f>
        <v>Helicopter</v>
      </c>
      <c r="G75" s="97">
        <f>VLOOKUP($B75,'MAIN DATA, Orders'!$A:$J,8,0)</f>
        <v>10</v>
      </c>
      <c r="H75" s="17">
        <f>VLOOKUP($B75,'MAIN DATA, Orders'!$A:$J,10,0)</f>
        <v>42419354.838709675</v>
      </c>
      <c r="I75" s="17">
        <f>VLOOKUP($B75,'MAIN DATA, Orders'!$A:$J,9,0)</f>
        <v>62</v>
      </c>
    </row>
    <row r="76" spans="2:9">
      <c r="B76" s="199" t="s">
        <v>1091</v>
      </c>
      <c r="C76" s="199" t="str">
        <f>VLOOKUP($B76,'MAIN DATA, Orders'!$A:$J,3,0)</f>
        <v>Germany</v>
      </c>
      <c r="D76" s="199" t="str">
        <f>VLOOKUP($B76,'MAIN DATA, Orders'!$A:$J,5,0)</f>
        <v>BvS10 Collaborative All Terrain Vehicle (CATV) communication equipment</v>
      </c>
      <c r="E76" s="199" t="str">
        <f>VLOOKUP($B76,'MAIN DATA, Orders'!$A:$J,6,0)</f>
        <v>All-terrain vehicle equipment</v>
      </c>
      <c r="F76" s="199" t="str">
        <f>VLOOKUP($B76,'MAIN DATA, Orders'!$A:$J,7,0)</f>
        <v>Armoured vehicle</v>
      </c>
      <c r="G76" s="97">
        <f>VLOOKUP($B76,'MAIN DATA, Orders'!$A:$J,8,0)</f>
        <v>2</v>
      </c>
      <c r="H76" s="17">
        <f>VLOOKUP($B76,'MAIN DATA, Orders'!$A:$J,10,0)</f>
        <v>174386.92098092643</v>
      </c>
      <c r="I76" s="17">
        <f>VLOOKUP($B76,'MAIN DATA, Orders'!$A:$J,9,0)</f>
        <v>367</v>
      </c>
    </row>
    <row r="77" spans="2:9">
      <c r="B77" s="199" t="s">
        <v>1096</v>
      </c>
      <c r="C77" s="199" t="str">
        <f>VLOOKUP($B77,'MAIN DATA, Orders'!$A:$J,3,0)</f>
        <v>Germany</v>
      </c>
      <c r="D77" s="199" t="str">
        <f>VLOOKUP($B77,'MAIN DATA, Orders'!$A:$J,5,0)</f>
        <v>SONIX system</v>
      </c>
      <c r="E77" s="199" t="str">
        <f>VLOOKUP($B77,'MAIN DATA, Orders'!$A:$J,6,0)</f>
        <v>Underwater situational display system</v>
      </c>
      <c r="F77" s="199" t="str">
        <f>VLOOKUP($B77,'MAIN DATA, Orders'!$A:$J,7,0)</f>
        <v>Naval</v>
      </c>
      <c r="G77" s="97">
        <f>VLOOKUP($B77,'MAIN DATA, Orders'!$A:$J,8,0)</f>
        <v>12</v>
      </c>
      <c r="H77" s="17">
        <f>VLOOKUP($B77,'MAIN DATA, Orders'!$A:$J,10,0)</f>
        <v>9072727.2727272734</v>
      </c>
      <c r="I77" s="17">
        <f>VLOOKUP($B77,'MAIN DATA, Orders'!$A:$J,9,0)</f>
        <v>11</v>
      </c>
    </row>
    <row r="78" spans="2:9">
      <c r="B78" s="199" t="s">
        <v>1101</v>
      </c>
      <c r="C78" s="199" t="str">
        <f>VLOOKUP($B78,'MAIN DATA, Orders'!$A:$J,3,0)</f>
        <v>Germany</v>
      </c>
      <c r="D78" s="199" t="str">
        <f>VLOOKUP($B78,'MAIN DATA, Orders'!$A:$J,5,0)</f>
        <v>SINA Communicator H encrypted telephone</v>
      </c>
      <c r="E78" s="199" t="str">
        <f>VLOOKUP($B78,'MAIN DATA, Orders'!$A:$J,6,0)</f>
        <v>Communication equipment</v>
      </c>
      <c r="F78" s="199" t="str">
        <f>VLOOKUP($B78,'MAIN DATA, Orders'!$A:$J,7,0)</f>
        <v>Modernisation</v>
      </c>
      <c r="G78" s="97">
        <f>VLOOKUP($B78,'MAIN DATA, Orders'!$A:$J,8,0)</f>
        <v>13</v>
      </c>
      <c r="H78" s="17">
        <f>VLOOKUP($B78,'MAIN DATA, Orders'!$A:$J,10,0)</f>
        <v>34745.254745254744</v>
      </c>
      <c r="I78" s="17">
        <f>VLOOKUP($B78,'MAIN DATA, Orders'!$A:$J,9,0)</f>
        <v>1001</v>
      </c>
    </row>
    <row r="79" spans="2:9">
      <c r="B79" s="199" t="s">
        <v>1105</v>
      </c>
      <c r="C79" s="199" t="str">
        <f>VLOOKUP($B79,'MAIN DATA, Orders'!$A:$J,3,0)</f>
        <v>Germany</v>
      </c>
      <c r="D79" s="199" t="str">
        <f>VLOOKUP($B79,'MAIN DATA, Orders'!$A:$J,5,0)</f>
        <v>IRIS-T AIM-2000 missile</v>
      </c>
      <c r="E79" s="199" t="str">
        <f>VLOOKUP($B79,'MAIN DATA, Orders'!$A:$J,6,0)</f>
        <v>Air-to-air missile (AAM)</v>
      </c>
      <c r="F79" s="199" t="str">
        <f>VLOOKUP($B79,'MAIN DATA, Orders'!$A:$J,7,0)</f>
        <v>Missile (Air)</v>
      </c>
      <c r="G79" s="97">
        <f>VLOOKUP($B79,'MAIN DATA, Orders'!$A:$J,8,0)</f>
        <v>6</v>
      </c>
      <c r="H79" s="17">
        <f>VLOOKUP($B79,'MAIN DATA, Orders'!$A:$J,10,0)</f>
        <v>900000</v>
      </c>
      <c r="I79" s="17">
        <f>VLOOKUP($B79,'MAIN DATA, Orders'!$A:$J,9,0)</f>
        <v>120</v>
      </c>
    </row>
    <row r="80" spans="2:9">
      <c r="B80" s="199" t="s">
        <v>1112</v>
      </c>
      <c r="C80" s="199" t="str">
        <f>VLOOKUP($B80,'MAIN DATA, Orders'!$A:$J,3,0)</f>
        <v>Germany</v>
      </c>
      <c r="D80" s="199" t="str">
        <f>VLOOKUP($B80,'MAIN DATA, Orders'!$A:$J,5,0)</f>
        <v>Patriot air defence munition</v>
      </c>
      <c r="E80" s="199" t="str">
        <f>VLOOKUP($B80,'MAIN DATA, Orders'!$A:$J,6,0)</f>
        <v>Surface-to-air missile (SAM)</v>
      </c>
      <c r="F80" s="199" t="str">
        <f>VLOOKUP($B80,'MAIN DATA, Orders'!$A:$J,7,0)</f>
        <v>Missile (Land)</v>
      </c>
      <c r="G80" s="97">
        <f>VLOOKUP($B80,'MAIN DATA, Orders'!$A:$J,8,0)</f>
        <v>6</v>
      </c>
      <c r="H80" s="17">
        <f>VLOOKUP($B80,'MAIN DATA, Orders'!$A:$J,10,0)</f>
        <v>6000000</v>
      </c>
      <c r="I80" s="17">
        <f>VLOOKUP($B80,'MAIN DATA, Orders'!$A:$J,9,0)</f>
        <v>400</v>
      </c>
    </row>
    <row r="81" spans="2:9">
      <c r="B81" s="199" t="s">
        <v>1117</v>
      </c>
      <c r="C81" s="199" t="str">
        <f>VLOOKUP($B81,'MAIN DATA, Orders'!$A:$J,3,0)</f>
        <v>Germany</v>
      </c>
      <c r="D81" s="199" t="str">
        <f>VLOOKUP($B81,'MAIN DATA, Orders'!$A:$J,5,0)</f>
        <v>Patriot air defence munition</v>
      </c>
      <c r="E81" s="199" t="str">
        <f>VLOOKUP($B81,'MAIN DATA, Orders'!$A:$J,6,0)</f>
        <v>Surface-to-air missile (SAM)</v>
      </c>
      <c r="F81" s="199" t="str">
        <f>VLOOKUP($B81,'MAIN DATA, Orders'!$A:$J,7,0)</f>
        <v>Missile (Land)</v>
      </c>
      <c r="G81" s="97">
        <f>VLOOKUP($B81,'MAIN DATA, Orders'!$A:$J,8,0)</f>
        <v>6</v>
      </c>
      <c r="H81" s="17">
        <f>VLOOKUP($B81,'MAIN DATA, Orders'!$A:$J,10,0)</f>
        <v>6020000</v>
      </c>
      <c r="I81" s="17">
        <f>VLOOKUP($B81,'MAIN DATA, Orders'!$A:$J,9,0)</f>
        <v>100</v>
      </c>
    </row>
    <row r="82" spans="2:9">
      <c r="B82" s="199" t="s">
        <v>1134</v>
      </c>
      <c r="C82" s="199" t="str">
        <f>VLOOKUP($B82,'MAIN DATA, Orders'!$A:$J,3,0)</f>
        <v>Germany</v>
      </c>
      <c r="D82" s="199" t="str">
        <f>VLOOKUP($B82,'MAIN DATA, Orders'!$A:$J,5,0)</f>
        <v>Skyranger</v>
      </c>
      <c r="E82" s="199" t="str">
        <f>VLOOKUP($B82,'MAIN DATA, Orders'!$A:$J,6,0)</f>
        <v>Self-propelled anti-aircraft weapon</v>
      </c>
      <c r="F82" s="199" t="str">
        <f>VLOOKUP($B82,'MAIN DATA, Orders'!$A:$J,7,0)</f>
        <v>Air defence system</v>
      </c>
      <c r="G82" s="97">
        <f>VLOOKUP($B82,'MAIN DATA, Orders'!$A:$J,8,0)</f>
        <v>5</v>
      </c>
      <c r="H82" s="17">
        <f>VLOOKUP($B82,'MAIN DATA, Orders'!$A:$J,10,0)</f>
        <v>34157894.736842103</v>
      </c>
      <c r="I82" s="17">
        <f>VLOOKUP($B82,'MAIN DATA, Orders'!$A:$J,9,0)</f>
        <v>19</v>
      </c>
    </row>
    <row r="83" spans="2:9">
      <c r="B83" s="199" t="s">
        <v>1153</v>
      </c>
      <c r="C83" s="199" t="str">
        <f>VLOOKUP($B83,'MAIN DATA, Orders'!$A:$J,3,0)</f>
        <v>Germany</v>
      </c>
      <c r="D83" s="199" t="str">
        <f>VLOOKUP($B83,'MAIN DATA, Orders'!$A:$J,5,0)</f>
        <v>Patriot air defence system</v>
      </c>
      <c r="E83" s="199" t="str">
        <f>VLOOKUP($B83,'MAIN DATA, Orders'!$A:$J,6,0)</f>
        <v>Anti-aircraft surface-to-air missile (SAM) system (long-range)</v>
      </c>
      <c r="F83" s="199" t="str">
        <f>VLOOKUP($B83,'MAIN DATA, Orders'!$A:$J,7,0)</f>
        <v>Air defence system</v>
      </c>
      <c r="G83" s="97">
        <f>VLOOKUP($B83,'MAIN DATA, Orders'!$A:$J,8,0)</f>
        <v>5</v>
      </c>
      <c r="H83" s="17">
        <f>VLOOKUP($B83,'MAIN DATA, Orders'!$A:$J,10,0)</f>
        <v>350000000</v>
      </c>
      <c r="I83" s="17">
        <f>VLOOKUP($B83,'MAIN DATA, Orders'!$A:$J,9,0)</f>
        <v>2</v>
      </c>
    </row>
    <row r="84" spans="2:9">
      <c r="B84" s="199" t="s">
        <v>1159</v>
      </c>
      <c r="C84" s="199" t="str">
        <f>VLOOKUP($B84,'MAIN DATA, Orders'!$A:$J,3,0)</f>
        <v>Germany</v>
      </c>
      <c r="D84" s="199" t="str">
        <f>VLOOKUP($B84,'MAIN DATA, Orders'!$A:$J,5,0)</f>
        <v>Patriot air defence system</v>
      </c>
      <c r="E84" s="199" t="str">
        <f>VLOOKUP($B84,'MAIN DATA, Orders'!$A:$J,6,0)</f>
        <v>Anti-aircraft surface-to-air missile (SAM) system (long-range)</v>
      </c>
      <c r="F84" s="199" t="str">
        <f>VLOOKUP($B84,'MAIN DATA, Orders'!$A:$J,7,0)</f>
        <v>Air defence system</v>
      </c>
      <c r="G84" s="97">
        <f>VLOOKUP($B84,'MAIN DATA, Orders'!$A:$J,8,0)</f>
        <v>5</v>
      </c>
      <c r="H84" s="17">
        <f>VLOOKUP($B84,'MAIN DATA, Orders'!$A:$J,10,0)</f>
        <v>350000000</v>
      </c>
      <c r="I84" s="17">
        <f>VLOOKUP($B84,'MAIN DATA, Orders'!$A:$J,9,0)</f>
        <v>2</v>
      </c>
    </row>
    <row r="85" spans="2:9">
      <c r="B85" s="199" t="s">
        <v>1160</v>
      </c>
      <c r="C85" s="199" t="str">
        <f>VLOOKUP($B85,'MAIN DATA, Orders'!$A:$J,3,0)</f>
        <v>Germany</v>
      </c>
      <c r="D85" s="199" t="str">
        <f>VLOOKUP($B85,'MAIN DATA, Orders'!$A:$J,5,0)</f>
        <v>Speaking set with hearing protection</v>
      </c>
      <c r="E85" s="199" t="str">
        <f>VLOOKUP($B85,'MAIN DATA, Orders'!$A:$J,6,0)</f>
        <v>Communication equipment</v>
      </c>
      <c r="F85" s="199" t="str">
        <f>VLOOKUP($B85,'MAIN DATA, Orders'!$A:$J,7,0)</f>
        <v>Modernisation</v>
      </c>
      <c r="G85" s="97">
        <f>VLOOKUP($B85,'MAIN DATA, Orders'!$A:$J,8,0)</f>
        <v>13</v>
      </c>
      <c r="H85" s="17">
        <f>VLOOKUP($B85,'MAIN DATA, Orders'!$A:$J,10,0)</f>
        <v>2700</v>
      </c>
      <c r="I85" s="17">
        <f>VLOOKUP($B85,'MAIN DATA, Orders'!$A:$J,9,0)</f>
        <v>30000</v>
      </c>
    </row>
    <row r="86" spans="2:9">
      <c r="B86" s="199" t="s">
        <v>1165</v>
      </c>
      <c r="C86" s="199" t="str">
        <f>VLOOKUP($B86,'MAIN DATA, Orders'!$A:$J,3,0)</f>
        <v>Germany</v>
      </c>
      <c r="D86" s="199" t="str">
        <f>VLOOKUP($B86,'MAIN DATA, Orders'!$A:$J,5,0)</f>
        <v>Heavy infantry weapon carrier</v>
      </c>
      <c r="E86" s="199" t="str">
        <f>VLOOKUP($B86,'MAIN DATA, Orders'!$A:$J,6,0)</f>
        <v>Light tank</v>
      </c>
      <c r="F86" s="199" t="str">
        <f>VLOOKUP($B86,'MAIN DATA, Orders'!$A:$J,7,0)</f>
        <v>Armoured vehicle</v>
      </c>
      <c r="G86" s="97">
        <f>VLOOKUP($B86,'MAIN DATA, Orders'!$A:$J,8,0)</f>
        <v>2</v>
      </c>
      <c r="H86" s="17">
        <f>VLOOKUP($B86,'MAIN DATA, Orders'!$A:$J,10,0)</f>
        <v>15772357.723577235</v>
      </c>
      <c r="I86" s="17">
        <f>VLOOKUP($B86,'MAIN DATA, Orders'!$A:$J,9,0)</f>
        <v>123</v>
      </c>
    </row>
    <row r="87" spans="2:9">
      <c r="B87" s="199" t="s">
        <v>1172</v>
      </c>
      <c r="C87" s="199" t="str">
        <f>VLOOKUP($B87,'MAIN DATA, Orders'!$A:$J,3,0)</f>
        <v>Germany</v>
      </c>
      <c r="D87" s="199" t="str">
        <f>VLOOKUP($B87,'MAIN DATA, Orders'!$A:$J,5,0)</f>
        <v>Heavy infantry weapon carrier maintenance (5 years)</v>
      </c>
      <c r="E87" s="199" t="str">
        <f>VLOOKUP($B87,'MAIN DATA, Orders'!$A:$J,6,0)</f>
        <v>Armored fighting vehicle maintenance</v>
      </c>
      <c r="F87" s="199" t="str">
        <f>VLOOKUP($B87,'MAIN DATA, Orders'!$A:$J,7,0)</f>
        <v>Maintenance</v>
      </c>
      <c r="G87" s="97">
        <f>VLOOKUP($B87,'MAIN DATA, Orders'!$A:$J,8,0)</f>
        <v>14</v>
      </c>
      <c r="H87" s="17">
        <f>VLOOKUP($B87,'MAIN DATA, Orders'!$A:$J,10,0)</f>
        <v>149380000</v>
      </c>
      <c r="I87" s="17">
        <f>VLOOKUP($B87,'MAIN DATA, Orders'!$A:$J,9,0)</f>
        <v>5</v>
      </c>
    </row>
    <row r="88" spans="2:9">
      <c r="B88" s="199" t="s">
        <v>1174</v>
      </c>
      <c r="C88" s="199" t="str">
        <f>VLOOKUP($B88,'MAIN DATA, Orders'!$A:$J,3,0)</f>
        <v>Germany</v>
      </c>
      <c r="D88" s="199" t="str">
        <f>VLOOKUP($B88,'MAIN DATA, Orders'!$A:$J,5,0)</f>
        <v>Puma duel simulator training device equipment set (AGDUS)</v>
      </c>
      <c r="E88" s="199" t="str">
        <f>VLOOKUP($B88,'MAIN DATA, Orders'!$A:$J,6,0)</f>
        <v>Infantry fighting vehicle (IFV) equipment</v>
      </c>
      <c r="F88" s="199" t="str">
        <f>VLOOKUP($B88,'MAIN DATA, Orders'!$A:$J,7,0)</f>
        <v>Armoured vehicle</v>
      </c>
      <c r="G88" s="97">
        <f>VLOOKUP($B88,'MAIN DATA, Orders'!$A:$J,8,0)</f>
        <v>2</v>
      </c>
      <c r="H88" s="17">
        <f>VLOOKUP($B88,'MAIN DATA, Orders'!$A:$J,10,0)</f>
        <v>422480.62015503878</v>
      </c>
      <c r="I88" s="17">
        <f>VLOOKUP($B88,'MAIN DATA, Orders'!$A:$J,9,0)</f>
        <v>258</v>
      </c>
    </row>
    <row r="89" spans="2:9">
      <c r="B89" s="199" t="s">
        <v>1181</v>
      </c>
      <c r="C89" s="199" t="str">
        <f>VLOOKUP($B89,'MAIN DATA, Orders'!$A:$J,3,0)</f>
        <v>Germany</v>
      </c>
      <c r="D89" s="199" t="str">
        <f>VLOOKUP($B89,'MAIN DATA, Orders'!$A:$J,5,0)</f>
        <v>70mm Tiger attack helicopter rocket (training)</v>
      </c>
      <c r="E89" s="199" t="str">
        <f>VLOOKUP($B89,'MAIN DATA, Orders'!$A:$J,6,0)</f>
        <v>70mm attack helicopter rocket</v>
      </c>
      <c r="F89" s="199" t="str">
        <f>VLOOKUP($B89,'MAIN DATA, Orders'!$A:$J,7,0)</f>
        <v>Ammunition</v>
      </c>
      <c r="G89" s="97">
        <f>VLOOKUP($B89,'MAIN DATA, Orders'!$A:$J,8,0)</f>
        <v>4</v>
      </c>
      <c r="H89" s="17">
        <f>VLOOKUP($B89,'MAIN DATA, Orders'!$A:$J,10,0)</f>
        <v>3557.312252964427</v>
      </c>
      <c r="I89" s="17">
        <f>VLOOKUP($B89,'MAIN DATA, Orders'!$A:$J,9,0)</f>
        <v>15180</v>
      </c>
    </row>
    <row r="90" spans="2:9">
      <c r="B90" s="45" t="s">
        <v>1209</v>
      </c>
      <c r="C90" s="199" t="str">
        <f>VLOOKUP($B90,'MAIN DATA, Orders'!$A:$J,3,0)</f>
        <v>Germany</v>
      </c>
      <c r="D90" s="199" t="str">
        <f>VLOOKUP($B90,'MAIN DATA, Orders'!$A:$J,5,0)</f>
        <v>DM45 smoke hand grenade</v>
      </c>
      <c r="E90" s="199" t="str">
        <f>VLOOKUP($B90,'MAIN DATA, Orders'!$A:$J,6,0)</f>
        <v>Smoke hand grenade</v>
      </c>
      <c r="F90" s="199" t="str">
        <f>VLOOKUP($B90,'MAIN DATA, Orders'!$A:$J,7,0)</f>
        <v>Infantry</v>
      </c>
      <c r="G90" s="97">
        <f>VLOOKUP($B90,'MAIN DATA, Orders'!$A:$J,8,0)</f>
        <v>8</v>
      </c>
      <c r="H90" s="17">
        <f>VLOOKUP($B90,'MAIN DATA, Orders'!$A:$J,10,0)</f>
        <v>69.584363251147622</v>
      </c>
      <c r="I90" s="17">
        <f>VLOOKUP($B90,'MAIN DATA, Orders'!$A:$J,9,0)</f>
        <v>962860</v>
      </c>
    </row>
    <row r="91" spans="2:9">
      <c r="B91" s="45" t="s">
        <v>1220</v>
      </c>
      <c r="C91" s="199" t="str">
        <f>VLOOKUP($B91,'MAIN DATA, Orders'!$A:$J,3,0)</f>
        <v>Germany</v>
      </c>
      <c r="D91" s="199" t="str">
        <f>VLOOKUP($B91,'MAIN DATA, Orders'!$A:$J,5,0)</f>
        <v>Communication server</v>
      </c>
      <c r="E91" s="199" t="str">
        <f>VLOOKUP($B91,'MAIN DATA, Orders'!$A:$J,6,0)</f>
        <v>Communication equipment</v>
      </c>
      <c r="F91" s="199" t="str">
        <f>VLOOKUP($B91,'MAIN DATA, Orders'!$A:$J,7,0)</f>
        <v>Modernisation</v>
      </c>
      <c r="G91" s="97">
        <f>VLOOKUP($B91,'MAIN DATA, Orders'!$A:$J,8,0)</f>
        <v>13</v>
      </c>
      <c r="H91" s="17">
        <f>VLOOKUP($B91,'MAIN DATA, Orders'!$A:$J,10,0)</f>
        <v>22929.736511919698</v>
      </c>
      <c r="I91" s="17">
        <f>VLOOKUP($B91,'MAIN DATA, Orders'!$A:$J,9,0)</f>
        <v>6376</v>
      </c>
    </row>
    <row r="92" spans="2:9">
      <c r="B92" s="45" t="s">
        <v>1226</v>
      </c>
      <c r="C92" s="199" t="str">
        <f>VLOOKUP($B92,'MAIN DATA, Orders'!$A:$J,3,0)</f>
        <v>Germany</v>
      </c>
      <c r="D92" s="199" t="str">
        <f>VLOOKUP($B92,'MAIN DATA, Orders'!$A:$J,5,0)</f>
        <v>Class 123 frigate (retrofit)</v>
      </c>
      <c r="E92" s="199" t="str">
        <f>VLOOKUP($B92,'MAIN DATA, Orders'!$A:$J,6,0)</f>
        <v>Frigate modernization</v>
      </c>
      <c r="F92" s="199" t="str">
        <f>VLOOKUP($B92,'MAIN DATA, Orders'!$A:$J,7,0)</f>
        <v>Naval</v>
      </c>
      <c r="G92" s="97">
        <f>VLOOKUP($B92,'MAIN DATA, Orders'!$A:$J,8,0)</f>
        <v>12</v>
      </c>
      <c r="H92" s="17">
        <f>VLOOKUP($B92,'MAIN DATA, Orders'!$A:$J,10,0)</f>
        <v>300000000</v>
      </c>
      <c r="I92" s="17">
        <f>VLOOKUP($B92,'MAIN DATA, Orders'!$A:$J,9,0)</f>
        <v>4</v>
      </c>
    </row>
    <row r="93" spans="2:9">
      <c r="B93" s="199" t="s">
        <v>1241</v>
      </c>
      <c r="C93" s="199" t="str">
        <f>VLOOKUP($B93,'MAIN DATA, Orders'!$A:$J,3,0)</f>
        <v>Germany</v>
      </c>
      <c r="D93" s="199" t="str">
        <f>VLOOKUP($B93,'MAIN DATA, Orders'!$A:$J,5,0)</f>
        <v>Mk 54 torpedo</v>
      </c>
      <c r="E93" s="199" t="str">
        <f>VLOOKUP($B93,'MAIN DATA, Orders'!$A:$J,6,0)</f>
        <v>Lightweight anti-submarine torpedo</v>
      </c>
      <c r="F93" s="199" t="str">
        <f>VLOOKUP($B93,'MAIN DATA, Orders'!$A:$J,7,0)</f>
        <v>Naval</v>
      </c>
      <c r="G93" s="97">
        <f>VLOOKUP($B93,'MAIN DATA, Orders'!$A:$J,8,0)</f>
        <v>12</v>
      </c>
      <c r="H93" s="17">
        <f>VLOOKUP($B93,'MAIN DATA, Orders'!$A:$J,10,0)</f>
        <v>2541666.6666666665</v>
      </c>
      <c r="I93" s="17">
        <f>VLOOKUP($B93,'MAIN DATA, Orders'!$A:$J,9,0)</f>
        <v>48</v>
      </c>
    </row>
    <row r="94" spans="2:9">
      <c r="B94" s="199" t="s">
        <v>1250</v>
      </c>
      <c r="C94" s="199" t="str">
        <f>VLOOKUP($B94,'MAIN DATA, Orders'!$A:$J,3,0)</f>
        <v>Germany</v>
      </c>
      <c r="D94" s="199" t="str">
        <f>VLOOKUP($B94,'MAIN DATA, Orders'!$A:$J,5,0)</f>
        <v>155mm artillery round</v>
      </c>
      <c r="E94" s="199" t="str">
        <f>VLOOKUP($B94,'MAIN DATA, Orders'!$A:$J,6,0)</f>
        <v>155mm howitzer ammunition</v>
      </c>
      <c r="F94" s="199" t="str">
        <f>VLOOKUP($B94,'MAIN DATA, Orders'!$A:$J,7,0)</f>
        <v>Ammunition</v>
      </c>
      <c r="G94" s="97">
        <f>VLOOKUP($B94,'MAIN DATA, Orders'!$A:$J,8,0)</f>
        <v>4</v>
      </c>
      <c r="H94" s="17">
        <f>VLOOKUP($B94,'MAIN DATA, Orders'!$A:$J,10,0)</f>
        <v>2933.3333333333335</v>
      </c>
      <c r="I94" s="17">
        <f>VLOOKUP($B94,'MAIN DATA, Orders'!$A:$J,9,0)</f>
        <v>300000</v>
      </c>
    </row>
    <row r="95" spans="2:9">
      <c r="B95" s="199" t="s">
        <v>1259</v>
      </c>
      <c r="C95" s="199" t="str">
        <f>VLOOKUP($B95,'MAIN DATA, Orders'!$A:$J,3,0)</f>
        <v>Germany</v>
      </c>
      <c r="D95" s="199" t="str">
        <f>VLOOKUP($B95,'MAIN DATA, Orders'!$A:$J,5,0)</f>
        <v>Multi-purpose combat ship (MKS) 180 / Class F126 frigate - contract adjustment</v>
      </c>
      <c r="E95" s="199" t="str">
        <f>VLOOKUP($B95,'MAIN DATA, Orders'!$A:$J,6,0)</f>
        <v>Frigate - contract adjustment</v>
      </c>
      <c r="F95" s="199" t="str">
        <f>VLOOKUP($B95,'MAIN DATA, Orders'!$A:$J,7,0)</f>
        <v>Naval</v>
      </c>
      <c r="G95" s="97">
        <f>VLOOKUP($B95,'MAIN DATA, Orders'!$A:$J,8,0)</f>
        <v>12</v>
      </c>
      <c r="H95" s="17">
        <f>VLOOKUP($B95,'MAIN DATA, Orders'!$A:$J,10,0)</f>
        <v>80750000</v>
      </c>
      <c r="I95" s="17">
        <f>VLOOKUP($B95,'MAIN DATA, Orders'!$A:$J,9,0)</f>
        <v>4</v>
      </c>
    </row>
    <row r="96" spans="2:9">
      <c r="B96" s="199" t="s">
        <v>1265</v>
      </c>
      <c r="C96" s="199" t="str">
        <f>VLOOKUP($B96,'MAIN DATA, Orders'!$A:$J,3,0)</f>
        <v>Germany</v>
      </c>
      <c r="D96" s="199" t="str">
        <f>VLOOKUP($B96,'MAIN DATA, Orders'!$A:$J,5,0)</f>
        <v>Multi-purpose combat ship (MKS) 180 / Class F126 frigate</v>
      </c>
      <c r="E96" s="199" t="str">
        <f>VLOOKUP($B96,'MAIN DATA, Orders'!$A:$J,6,0)</f>
        <v>Frigate</v>
      </c>
      <c r="F96" s="199" t="str">
        <f>VLOOKUP($B96,'MAIN DATA, Orders'!$A:$J,7,0)</f>
        <v>Naval</v>
      </c>
      <c r="G96" s="97">
        <f>VLOOKUP($B96,'MAIN DATA, Orders'!$A:$J,8,0)</f>
        <v>12</v>
      </c>
      <c r="H96" s="17">
        <f>VLOOKUP($B96,'MAIN DATA, Orders'!$A:$J,10,0)</f>
        <v>1590000000</v>
      </c>
      <c r="I96" s="17">
        <f>VLOOKUP($B96,'MAIN DATA, Orders'!$A:$J,9,0)</f>
        <v>2</v>
      </c>
    </row>
    <row r="97" spans="2:9">
      <c r="B97" s="199" t="s">
        <v>1277</v>
      </c>
      <c r="C97" s="199" t="str">
        <f>VLOOKUP($B97,'MAIN DATA, Orders'!$A:$J,3,0)</f>
        <v>Germany</v>
      </c>
      <c r="D97" s="199" t="str">
        <f>VLOOKUP($B97,'MAIN DATA, Orders'!$A:$J,5,0)</f>
        <v>Tornado Head-Up Display (HUD)</v>
      </c>
      <c r="E97" s="199" t="str">
        <f>VLOOKUP($B97,'MAIN DATA, Orders'!$A:$J,6,0)</f>
        <v>Fighter aircraft display</v>
      </c>
      <c r="F97" s="199" t="str">
        <f>VLOOKUP($B97,'MAIN DATA, Orders'!$A:$J,7,0)</f>
        <v>Aircraft</v>
      </c>
      <c r="G97" s="97">
        <f>VLOOKUP($B97,'MAIN DATA, Orders'!$A:$J,8,0)</f>
        <v>11</v>
      </c>
      <c r="H97" s="17">
        <f>VLOOKUP($B97,'MAIN DATA, Orders'!$A:$J,10,0)</f>
        <v>1466666.6666666667</v>
      </c>
      <c r="I97" s="17">
        <f>VLOOKUP($B97,'MAIN DATA, Orders'!$A:$J,9,0)</f>
        <v>45</v>
      </c>
    </row>
    <row r="98" spans="2:9">
      <c r="B98" s="199" t="s">
        <v>1289</v>
      </c>
      <c r="C98" s="199" t="str">
        <f>VLOOKUP($B98,'MAIN DATA, Orders'!$A:$J,3,0)</f>
        <v>Germany</v>
      </c>
      <c r="D98" s="199" t="str">
        <f>VLOOKUP($B98,'MAIN DATA, Orders'!$A:$J,5,0)</f>
        <v>Unprotected transport vehicle</v>
      </c>
      <c r="E98" s="199" t="str">
        <f>VLOOKUP($B98,'MAIN DATA, Orders'!$A:$J,6,0)</f>
        <v>Non-combat military vehicle</v>
      </c>
      <c r="F98" s="199" t="str">
        <f>VLOOKUP($B98,'MAIN DATA, Orders'!$A:$J,7,0)</f>
        <v>Other</v>
      </c>
      <c r="G98" s="97">
        <f>VLOOKUP($B98,'MAIN DATA, Orders'!$A:$J,8,0)</f>
        <v>16</v>
      </c>
      <c r="H98" s="17">
        <f>VLOOKUP($B98,'MAIN DATA, Orders'!$A:$J,10,0)</f>
        <v>513114.75409836066</v>
      </c>
      <c r="I98" s="17">
        <f>VLOOKUP($B98,'MAIN DATA, Orders'!$A:$J,9,0)</f>
        <v>610</v>
      </c>
    </row>
    <row r="99" spans="2:9">
      <c r="B99" s="199" t="s">
        <v>1296</v>
      </c>
      <c r="C99" s="199" t="str">
        <f>VLOOKUP($B99,'MAIN DATA, Orders'!$A:$J,3,0)</f>
        <v>Germany</v>
      </c>
      <c r="D99" s="199" t="str">
        <f>VLOOKUP($B99,'MAIN DATA, Orders'!$A:$J,5,0)</f>
        <v>Airfield fire engine</v>
      </c>
      <c r="E99" s="199" t="str">
        <f>VLOOKUP($B99,'MAIN DATA, Orders'!$A:$J,6,0)</f>
        <v>Non-combat military vehicle</v>
      </c>
      <c r="F99" s="199" t="str">
        <f>VLOOKUP($B99,'MAIN DATA, Orders'!$A:$J,7,0)</f>
        <v>Other</v>
      </c>
      <c r="G99" s="97">
        <f>VLOOKUP($B99,'MAIN DATA, Orders'!$A:$J,8,0)</f>
        <v>16</v>
      </c>
      <c r="H99" s="17">
        <f>VLOOKUP($B99,'MAIN DATA, Orders'!$A:$J,10,0)</f>
        <v>1400000</v>
      </c>
      <c r="I99" s="17">
        <f>VLOOKUP($B99,'MAIN DATA, Orders'!$A:$J,9,0)</f>
        <v>60</v>
      </c>
    </row>
    <row r="100" spans="2:9">
      <c r="B100" s="199" t="s">
        <v>1304</v>
      </c>
      <c r="C100" s="199" t="str">
        <f>VLOOKUP($B100,'MAIN DATA, Orders'!$A:$J,3,0)</f>
        <v>Germany</v>
      </c>
      <c r="D100" s="199" t="str">
        <f>VLOOKUP($B100,'MAIN DATA, Orders'!$A:$J,5,0)</f>
        <v>Class 123 frigate electronic warfare system</v>
      </c>
      <c r="E100" s="199" t="str">
        <f>VLOOKUP($B100,'MAIN DATA, Orders'!$A:$J,6,0)</f>
        <v>Frigate modernization</v>
      </c>
      <c r="F100" s="199" t="str">
        <f>VLOOKUP($B100,'MAIN DATA, Orders'!$A:$J,7,0)</f>
        <v>Naval</v>
      </c>
      <c r="G100" s="97">
        <f>VLOOKUP($B100,'MAIN DATA, Orders'!$A:$J,8,0)</f>
        <v>12</v>
      </c>
      <c r="H100" s="17">
        <f>VLOOKUP($B100,'MAIN DATA, Orders'!$A:$J,10,0)</f>
        <v>25750000</v>
      </c>
      <c r="I100" s="17">
        <f>VLOOKUP($B100,'MAIN DATA, Orders'!$A:$J,9,0)</f>
        <v>4</v>
      </c>
    </row>
    <row r="101" spans="2:9">
      <c r="B101" s="199" t="s">
        <v>1318</v>
      </c>
      <c r="C101" s="199" t="str">
        <f>VLOOKUP($B101,'MAIN DATA, Orders'!$A:$J,3,0)</f>
        <v>Germany</v>
      </c>
      <c r="D101" s="199" t="str">
        <f>VLOOKUP($B101,'MAIN DATA, Orders'!$A:$J,5,0)</f>
        <v>Brimstone 3 guided missile</v>
      </c>
      <c r="E101" s="199" t="str">
        <f>VLOOKUP($B101,'MAIN DATA, Orders'!$A:$J,6,0)</f>
        <v>Air-to-surface missile (ASM)</v>
      </c>
      <c r="F101" s="199" t="str">
        <f>VLOOKUP($B101,'MAIN DATA, Orders'!$A:$J,7,0)</f>
        <v>Missile (Air)</v>
      </c>
      <c r="G101" s="97">
        <f>VLOOKUP($B101,'MAIN DATA, Orders'!$A:$J,8,0)</f>
        <v>6</v>
      </c>
      <c r="H101" s="17">
        <f>VLOOKUP($B101,'MAIN DATA, Orders'!$A:$J,10,0)</f>
        <v>1372262.7737226277</v>
      </c>
      <c r="I101" s="17">
        <f>VLOOKUP($B101,'MAIN DATA, Orders'!$A:$J,9,0)</f>
        <v>274</v>
      </c>
    </row>
    <row r="102" spans="2:9">
      <c r="B102" s="199" t="s">
        <v>1327</v>
      </c>
      <c r="C102" s="199" t="str">
        <f>VLOOKUP($B102,'MAIN DATA, Orders'!$A:$J,3,0)</f>
        <v>Germany</v>
      </c>
      <c r="D102" s="199" t="str">
        <f>VLOOKUP($B102,'MAIN DATA, Orders'!$A:$J,5,0)</f>
        <v>Stinger guided missile</v>
      </c>
      <c r="E102" s="199" t="str">
        <f>VLOOKUP($B102,'MAIN DATA, Orders'!$A:$J,6,0)</f>
        <v>Man-portable surface-to-air missile system (MANPADS)</v>
      </c>
      <c r="F102" s="199" t="str">
        <f>VLOOKUP($B102,'MAIN DATA, Orders'!$A:$J,7,0)</f>
        <v>Missile (Land)</v>
      </c>
      <c r="G102" s="97">
        <f>VLOOKUP($B102,'MAIN DATA, Orders'!$A:$J,8,0)</f>
        <v>6</v>
      </c>
      <c r="H102" s="17">
        <f>VLOOKUP($B102,'MAIN DATA, Orders'!$A:$J,10,0)</f>
        <v>780632.41106719372</v>
      </c>
      <c r="I102" s="17">
        <f>VLOOKUP($B102,'MAIN DATA, Orders'!$A:$J,9,0)</f>
        <v>506</v>
      </c>
    </row>
    <row r="103" spans="2:9">
      <c r="B103" s="199" t="s">
        <v>1332</v>
      </c>
      <c r="C103" s="199" t="str">
        <f>VLOOKUP($B103,'MAIN DATA, Orders'!$A:$J,3,0)</f>
        <v>Germany</v>
      </c>
      <c r="D103" s="199" t="str">
        <f>VLOOKUP($B103,'MAIN DATA, Orders'!$A:$J,5,0)</f>
        <v>Leopard 2 A8</v>
      </c>
      <c r="E103" s="199" t="str">
        <f>VLOOKUP($B103,'MAIN DATA, Orders'!$A:$J,6,0)</f>
        <v>Main Battle Tank (MBT)</v>
      </c>
      <c r="F103" s="199" t="str">
        <f>VLOOKUP($B103,'MAIN DATA, Orders'!$A:$J,7,0)</f>
        <v>Tank</v>
      </c>
      <c r="G103" s="97">
        <f>VLOOKUP($B103,'MAIN DATA, Orders'!$A:$J,8,0)</f>
        <v>1</v>
      </c>
      <c r="H103" s="17">
        <f>VLOOKUP($B103,'MAIN DATA, Orders'!$A:$J,10,0)</f>
        <v>27619047.619047619</v>
      </c>
      <c r="I103" s="17">
        <f>VLOOKUP($B103,'MAIN DATA, Orders'!$A:$J,9,0)</f>
        <v>105</v>
      </c>
    </row>
    <row r="104" spans="2:9">
      <c r="B104" s="199" t="s">
        <v>1348</v>
      </c>
      <c r="C104" s="199" t="str">
        <f>VLOOKUP($B104,'MAIN DATA, Orders'!$A:$J,3,0)</f>
        <v>Germany</v>
      </c>
      <c r="D104" s="199" t="str">
        <f>VLOOKUP($B104,'MAIN DATA, Orders'!$A:$J,5,0)</f>
        <v>Speaking set with hearing protection</v>
      </c>
      <c r="E104" s="199" t="str">
        <f>VLOOKUP($B104,'MAIN DATA, Orders'!$A:$J,6,0)</f>
        <v>Communication equipment</v>
      </c>
      <c r="F104" s="199" t="str">
        <f>VLOOKUP($B104,'MAIN DATA, Orders'!$A:$J,7,0)</f>
        <v>Modernisation</v>
      </c>
      <c r="G104" s="97">
        <f>VLOOKUP($B104,'MAIN DATA, Orders'!$A:$J,8,0)</f>
        <v>13</v>
      </c>
      <c r="H104" s="17">
        <f>VLOOKUP($B104,'MAIN DATA, Orders'!$A:$J,10,0)</f>
        <v>2233.3333333333335</v>
      </c>
      <c r="I104" s="17">
        <f>VLOOKUP($B104,'MAIN DATA, Orders'!$A:$J,9,0)</f>
        <v>30000</v>
      </c>
    </row>
    <row r="105" spans="2:9">
      <c r="B105" s="199" t="s">
        <v>1350</v>
      </c>
      <c r="C105" s="199" t="str">
        <f>VLOOKUP($B105,'MAIN DATA, Orders'!$A:$J,3,0)</f>
        <v>Germany</v>
      </c>
      <c r="D105" s="199" t="str">
        <f>VLOOKUP($B105,'MAIN DATA, Orders'!$A:$J,5,0)</f>
        <v>Patriot air defence system</v>
      </c>
      <c r="E105" s="199" t="str">
        <f>VLOOKUP($B105,'MAIN DATA, Orders'!$A:$J,6,0)</f>
        <v>Anti-aircraft surface-to-air missile (SAM) system (long-range)</v>
      </c>
      <c r="F105" s="199" t="str">
        <f>VLOOKUP($B105,'MAIN DATA, Orders'!$A:$J,7,0)</f>
        <v>Air defence system</v>
      </c>
      <c r="G105" s="97">
        <f>VLOOKUP($B105,'MAIN DATA, Orders'!$A:$J,8,0)</f>
        <v>5</v>
      </c>
      <c r="H105" s="17">
        <f>VLOOKUP($B105,'MAIN DATA, Orders'!$A:$J,10,0)</f>
        <v>350000000</v>
      </c>
      <c r="I105" s="17">
        <f>VLOOKUP($B105,'MAIN DATA, Orders'!$A:$J,9,0)</f>
        <v>3</v>
      </c>
    </row>
    <row r="106" spans="2:9">
      <c r="B106" s="199" t="s">
        <v>1356</v>
      </c>
      <c r="C106" s="199" t="str">
        <f>VLOOKUP($B106,'MAIN DATA, Orders'!$A:$J,3,0)</f>
        <v>Germany</v>
      </c>
      <c r="D106" s="199" t="str">
        <f>VLOOKUP($B106,'MAIN DATA, Orders'!$A:$J,5,0)</f>
        <v>Patriot air defence system</v>
      </c>
      <c r="E106" s="199" t="str">
        <f>VLOOKUP($B106,'MAIN DATA, Orders'!$A:$J,6,0)</f>
        <v>Anti-aircraft surface-to-air missile (SAM) system (long-range)</v>
      </c>
      <c r="F106" s="199" t="str">
        <f>VLOOKUP($B106,'MAIN DATA, Orders'!$A:$J,7,0)</f>
        <v>Air defence system</v>
      </c>
      <c r="G106" s="97">
        <f>VLOOKUP($B106,'MAIN DATA, Orders'!$A:$J,8,0)</f>
        <v>5</v>
      </c>
      <c r="H106" s="17">
        <f>VLOOKUP($B106,'MAIN DATA, Orders'!$A:$J,10,0)</f>
        <v>350000000</v>
      </c>
      <c r="I106" s="17">
        <f>VLOOKUP($B106,'MAIN DATA, Orders'!$A:$J,9,0)</f>
        <v>1</v>
      </c>
    </row>
    <row r="107" spans="2:9">
      <c r="B107" s="199" t="s">
        <v>1357</v>
      </c>
      <c r="C107" s="199" t="str">
        <f>VLOOKUP($B107,'MAIN DATA, Orders'!$A:$J,3,0)</f>
        <v>Germany</v>
      </c>
      <c r="D107" s="199" t="str">
        <f>VLOOKUP($B107,'MAIN DATA, Orders'!$A:$J,5,0)</f>
        <v>Patriot air defence munition</v>
      </c>
      <c r="E107" s="199" t="str">
        <f>VLOOKUP($B107,'MAIN DATA, Orders'!$A:$J,6,0)</f>
        <v>Surface-to-air missile (SAM)</v>
      </c>
      <c r="F107" s="199" t="str">
        <f>VLOOKUP($B107,'MAIN DATA, Orders'!$A:$J,7,0)</f>
        <v>Missile (Land)</v>
      </c>
      <c r="G107" s="97">
        <f>VLOOKUP($B107,'MAIN DATA, Orders'!$A:$J,8,0)</f>
        <v>6</v>
      </c>
      <c r="H107" s="52">
        <f>VLOOKUP($B107,'MAIN DATA, Orders'!$A:$J,10,0)</f>
        <v>2000000</v>
      </c>
      <c r="I107" s="52">
        <f>VLOOKUP($B107,'MAIN DATA, Orders'!$A:$J,9,0)</f>
        <v>100</v>
      </c>
    </row>
    <row r="110" spans="2:9">
      <c r="B110" s="134" t="s">
        <v>1401</v>
      </c>
    </row>
    <row r="112" spans="2:9">
      <c r="B112" s="199" t="s">
        <v>161</v>
      </c>
      <c r="C112" s="199" t="str">
        <f>VLOOKUP($B112,'MAIN DATA, Orders'!$A:$J,3,0)</f>
        <v>Germany</v>
      </c>
      <c r="D112" s="199" t="str">
        <f>VLOOKUP($B112,'MAIN DATA, Orders'!$A:$J,5,0)</f>
        <v>Heron 1 operation - contract extension (1 year)</v>
      </c>
      <c r="E112" s="199" t="str">
        <f>VLOOKUP($B112,'MAIN DATA, Orders'!$A:$J,6,0)</f>
        <v>Medium-altitude long-endurance (MALE) unmanned aerial vehicle (UAV)</v>
      </c>
      <c r="F112" s="199" t="str">
        <f>VLOOKUP($B112,'MAIN DATA, Orders'!$A:$J,7,0)</f>
        <v>Drone</v>
      </c>
      <c r="G112" s="97">
        <f>VLOOKUP($B112,'MAIN DATA, Orders'!$A:$J,8,0)</f>
        <v>7</v>
      </c>
      <c r="H112" s="17">
        <f>VLOOKUP($B112,'MAIN DATA, Orders'!$A:$J,10,0)</f>
        <v>30000000</v>
      </c>
      <c r="I112" s="17">
        <f>VLOOKUP($B112,'MAIN DATA, Orders'!$A:$J,9,0)</f>
        <v>1</v>
      </c>
    </row>
    <row r="113" spans="2:9">
      <c r="B113" s="199" t="s">
        <v>193</v>
      </c>
      <c r="C113" s="199" t="str">
        <f>VLOOKUP($B113,'MAIN DATA, Orders'!$A:$J,3,0)</f>
        <v>Germany</v>
      </c>
      <c r="D113" s="199" t="str">
        <f>VLOOKUP($B113,'MAIN DATA, Orders'!$A:$J,5,0)</f>
        <v>Hercules follow-up project (HFP) - contract extension (4 years)</v>
      </c>
      <c r="E113" s="199" t="str">
        <f>VLOOKUP($B113,'MAIN DATA, Orders'!$A:$J,6,0)</f>
        <v>Communication and digitalisation</v>
      </c>
      <c r="F113" s="199" t="str">
        <f>VLOOKUP($B113,'MAIN DATA, Orders'!$A:$J,7,0)</f>
        <v>Modernisation</v>
      </c>
      <c r="G113" s="97">
        <f>VLOOKUP($B113,'MAIN DATA, Orders'!$A:$J,8,0)</f>
        <v>13</v>
      </c>
      <c r="H113" s="17">
        <f>VLOOKUP($B113,'MAIN DATA, Orders'!$A:$J,10,0)</f>
        <v>1150000000</v>
      </c>
      <c r="I113" s="17">
        <f>VLOOKUP($B113,'MAIN DATA, Orders'!$A:$J,9,0)</f>
        <v>4</v>
      </c>
    </row>
    <row r="114" spans="2:9">
      <c r="B114" s="199" t="s">
        <v>205</v>
      </c>
      <c r="C114" s="199" t="str">
        <f>VLOOKUP($B114,'MAIN DATA, Orders'!$A:$J,3,0)</f>
        <v>Germany</v>
      </c>
      <c r="D114" s="199" t="str">
        <f>VLOOKUP($B114,'MAIN DATA, Orders'!$A:$J,5,0)</f>
        <v>BWI - contract extension (7 years)</v>
      </c>
      <c r="E114" s="199" t="str">
        <f>VLOOKUP($B114,'MAIN DATA, Orders'!$A:$J,6,0)</f>
        <v>Communication and digitalisation</v>
      </c>
      <c r="F114" s="199" t="str">
        <f>VLOOKUP($B114,'MAIN DATA, Orders'!$A:$J,7,0)</f>
        <v>Modernisation</v>
      </c>
      <c r="G114" s="97">
        <f>VLOOKUP($B114,'MAIN DATA, Orders'!$A:$J,8,0)</f>
        <v>13</v>
      </c>
      <c r="H114" s="17">
        <f>VLOOKUP($B114,'MAIN DATA, Orders'!$A:$J,10,0)</f>
        <v>228571428.57142857</v>
      </c>
      <c r="I114" s="17">
        <f>VLOOKUP($B114,'MAIN DATA, Orders'!$A:$J,9,0)</f>
        <v>7</v>
      </c>
    </row>
    <row r="115" spans="2:9">
      <c r="B115" s="199" t="s">
        <v>238</v>
      </c>
      <c r="C115" s="199" t="str">
        <f>VLOOKUP($B115,'MAIN DATA, Orders'!$A:$J,3,0)</f>
        <v>Germany</v>
      </c>
      <c r="D115" s="199" t="str">
        <f>VLOOKUP($B115,'MAIN DATA, Orders'!$A:$J,5,0)</f>
        <v>Clothing and personal equipment - contract extension (3 years)</v>
      </c>
      <c r="E115" s="199" t="str">
        <f>VLOOKUP($B115,'MAIN DATA, Orders'!$A:$J,6,0)</f>
        <v>Clothing and personal equipment</v>
      </c>
      <c r="F115" s="199" t="str">
        <f>VLOOKUP($B115,'MAIN DATA, Orders'!$A:$J,7,0)</f>
        <v>Modernisation</v>
      </c>
      <c r="G115" s="97">
        <f>VLOOKUP($B115,'MAIN DATA, Orders'!$A:$J,8,0)</f>
        <v>13</v>
      </c>
      <c r="H115" s="17">
        <f>VLOOKUP($B115,'MAIN DATA, Orders'!$A:$J,10,0)</f>
        <v>93333333.333333328</v>
      </c>
      <c r="I115" s="17">
        <f>VLOOKUP($B115,'MAIN DATA, Orders'!$A:$J,9,0)</f>
        <v>3</v>
      </c>
    </row>
    <row r="116" spans="2:9">
      <c r="B116" s="199" t="s">
        <v>402</v>
      </c>
      <c r="C116" s="199" t="str">
        <f>VLOOKUP($B116,'MAIN DATA, Orders'!$A:$J,3,0)</f>
        <v>Germany</v>
      </c>
      <c r="D116" s="199" t="str">
        <f>VLOOKUP($B116,'MAIN DATA, Orders'!$A:$J,5,0)</f>
        <v>Clothing and personal equipment - contract extension (2 years)</v>
      </c>
      <c r="E116" s="199" t="str">
        <f>VLOOKUP($B116,'MAIN DATA, Orders'!$A:$J,6,0)</f>
        <v>Clothing and personal equipment</v>
      </c>
      <c r="F116" s="199" t="str">
        <f>VLOOKUP($B116,'MAIN DATA, Orders'!$A:$J,7,0)</f>
        <v>Modernisation</v>
      </c>
      <c r="G116" s="97">
        <f>VLOOKUP($B116,'MAIN DATA, Orders'!$A:$J,8,0)</f>
        <v>13</v>
      </c>
      <c r="H116" s="17">
        <f>VLOOKUP($B116,'MAIN DATA, Orders'!$A:$J,10,0)</f>
        <v>47500000</v>
      </c>
      <c r="I116" s="17">
        <f>VLOOKUP($B116,'MAIN DATA, Orders'!$A:$J,9,0)</f>
        <v>2</v>
      </c>
    </row>
    <row r="117" spans="2:9">
      <c r="B117" s="199" t="s">
        <v>421</v>
      </c>
      <c r="C117" s="199" t="str">
        <f>VLOOKUP($B117,'MAIN DATA, Orders'!$A:$J,3,0)</f>
        <v>Germany</v>
      </c>
      <c r="D117" s="199" t="str">
        <f>VLOOKUP($B117,'MAIN DATA, Orders'!$A:$J,5,0)</f>
        <v>Future Combat Air System project - contract extension (7 years)</v>
      </c>
      <c r="E117" s="199" t="str">
        <f>VLOOKUP($B117,'MAIN DATA, Orders'!$A:$J,6,0)</f>
        <v>Combat aircraft system development</v>
      </c>
      <c r="F117" s="199" t="str">
        <f>VLOOKUP($B117,'MAIN DATA, Orders'!$A:$J,7,0)</f>
        <v>Development - Aircraft</v>
      </c>
      <c r="G117" s="97">
        <f>VLOOKUP($B117,'MAIN DATA, Orders'!$A:$J,8,0)</f>
        <v>15</v>
      </c>
      <c r="H117" s="17">
        <f>VLOOKUP($B117,'MAIN DATA, Orders'!$A:$J,10,0)</f>
        <v>628571428.57142854</v>
      </c>
      <c r="I117" s="17">
        <f>VLOOKUP($B117,'MAIN DATA, Orders'!$A:$J,9,0)</f>
        <v>7</v>
      </c>
    </row>
    <row r="118" spans="2:9">
      <c r="B118" s="199" t="s">
        <v>501</v>
      </c>
      <c r="C118" s="199" t="str">
        <f>VLOOKUP($B118,'MAIN DATA, Orders'!$A:$J,3,0)</f>
        <v>Germany</v>
      </c>
      <c r="D118" s="199" t="str">
        <f>VLOOKUP($B118,'MAIN DATA, Orders'!$A:$J,5,0)</f>
        <v>Secure Inter- Network Architecture (SINA) - contract extension (4 years)</v>
      </c>
      <c r="E118" s="199" t="str">
        <f>VLOOKUP($B118,'MAIN DATA, Orders'!$A:$J,6,0)</f>
        <v>Communication and digitalisation</v>
      </c>
      <c r="F118" s="199" t="str">
        <f>VLOOKUP($B118,'MAIN DATA, Orders'!$A:$J,7,0)</f>
        <v>Modernisation</v>
      </c>
      <c r="G118" s="97">
        <f>VLOOKUP($B118,'MAIN DATA, Orders'!$A:$J,8,0)</f>
        <v>13</v>
      </c>
      <c r="H118" s="17">
        <f>VLOOKUP($B118,'MAIN DATA, Orders'!$A:$J,10,0)</f>
        <v>218500000</v>
      </c>
      <c r="I118" s="17">
        <f>VLOOKUP($B118,'MAIN DATA, Orders'!$A:$J,9,0)</f>
        <v>4</v>
      </c>
    </row>
    <row r="119" spans="2:9">
      <c r="B119" s="199" t="s">
        <v>590</v>
      </c>
      <c r="C119" s="199" t="str">
        <f>VLOOKUP($B119,'MAIN DATA, Orders'!$A:$J,3,0)</f>
        <v>Germany</v>
      </c>
      <c r="D119" s="199" t="str">
        <f>VLOOKUP($B119,'MAIN DATA, Orders'!$A:$J,5,0)</f>
        <v>SALIS (Strategic Airlift International Solution) - contract extension (5 years)</v>
      </c>
      <c r="E119" s="199" t="str">
        <f>VLOOKUP($B119,'MAIN DATA, Orders'!$A:$J,6,0)</f>
        <v>Airforce operational readiness</v>
      </c>
      <c r="F119" s="199" t="str">
        <f>VLOOKUP($B119,'MAIN DATA, Orders'!$A:$J,7,0)</f>
        <v>Aircraft</v>
      </c>
      <c r="G119" s="97">
        <f>VLOOKUP($B119,'MAIN DATA, Orders'!$A:$J,8,0)</f>
        <v>11</v>
      </c>
      <c r="H119" s="17">
        <f>VLOOKUP($B119,'MAIN DATA, Orders'!$A:$J,10,0)</f>
        <v>41200000</v>
      </c>
      <c r="I119" s="17">
        <f>VLOOKUP($B119,'MAIN DATA, Orders'!$A:$J,9,0)</f>
        <v>5</v>
      </c>
    </row>
    <row r="120" spans="2:9">
      <c r="B120" s="199" t="s">
        <v>637</v>
      </c>
      <c r="C120" s="199" t="str">
        <f>VLOOKUP($B120,'MAIN DATA, Orders'!$A:$J,3,0)</f>
        <v>Germany</v>
      </c>
      <c r="D120" s="199" t="str">
        <f>VLOOKUP($B120,'MAIN DATA, Orders'!$A:$J,5,0)</f>
        <v>Spare parts logistics ZEBEL - contract extension (2 years)</v>
      </c>
      <c r="E120" s="199" t="str">
        <f>VLOOKUP($B120,'MAIN DATA, Orders'!$A:$J,6,0)</f>
        <v>Spare parts logistics</v>
      </c>
      <c r="F120" s="199" t="str">
        <f>VLOOKUP($B120,'MAIN DATA, Orders'!$A:$J,7,0)</f>
        <v>Maintenance</v>
      </c>
      <c r="G120" s="97">
        <f>VLOOKUP($B120,'MAIN DATA, Orders'!$A:$J,8,0)</f>
        <v>14</v>
      </c>
      <c r="H120" s="17">
        <f>VLOOKUP($B120,'MAIN DATA, Orders'!$A:$J,10,0)</f>
        <v>25950000</v>
      </c>
      <c r="I120" s="17">
        <f>VLOOKUP($B120,'MAIN DATA, Orders'!$A:$J,9,0)</f>
        <v>2</v>
      </c>
    </row>
    <row r="121" spans="2:9">
      <c r="B121" s="199" t="s">
        <v>658</v>
      </c>
      <c r="C121" s="199" t="str">
        <f>VLOOKUP($B121,'MAIN DATA, Orders'!$A:$J,3,0)</f>
        <v>Germany</v>
      </c>
      <c r="D121" s="199" t="str">
        <f>VLOOKUP($B121,'MAIN DATA, Orders'!$A:$J,5,0)</f>
        <v>Level 2 satellite communications - contract extension (5 years)</v>
      </c>
      <c r="E121" s="199" t="str">
        <f>VLOOKUP($B121,'MAIN DATA, Orders'!$A:$J,6,0)</f>
        <v>Communication and digitalisation</v>
      </c>
      <c r="F121" s="199" t="str">
        <f>VLOOKUP($B121,'MAIN DATA, Orders'!$A:$J,7,0)</f>
        <v>Modernisation</v>
      </c>
      <c r="G121" s="97">
        <f>VLOOKUP($B121,'MAIN DATA, Orders'!$A:$J,8,0)</f>
        <v>13</v>
      </c>
      <c r="H121" s="17">
        <f>VLOOKUP($B121,'MAIN DATA, Orders'!$A:$J,10,0)</f>
        <v>12400000</v>
      </c>
      <c r="I121" s="17">
        <f>VLOOKUP($B121,'MAIN DATA, Orders'!$A:$J,9,0)</f>
        <v>5</v>
      </c>
    </row>
    <row r="122" spans="2:9">
      <c r="B122" s="199" t="s">
        <v>734</v>
      </c>
      <c r="C122" s="199" t="str">
        <f>VLOOKUP($B122,'MAIN DATA, Orders'!$A:$J,3,0)</f>
        <v>Germany</v>
      </c>
      <c r="D122" s="199" t="str">
        <f>VLOOKUP($B122,'MAIN DATA, Orders'!$A:$J,5,0)</f>
        <v>Bundeswehr Cyber ​​Innovation Hub - contract extension (5 years)</v>
      </c>
      <c r="E122" s="199" t="str">
        <f>VLOOKUP($B122,'MAIN DATA, Orders'!$A:$J,6,0)</f>
        <v>Communication and digitalisation</v>
      </c>
      <c r="F122" s="199" t="str">
        <f>VLOOKUP($B122,'MAIN DATA, Orders'!$A:$J,7,0)</f>
        <v>Modernisation</v>
      </c>
      <c r="G122" s="97">
        <f>VLOOKUP($B122,'MAIN DATA, Orders'!$A:$J,8,0)</f>
        <v>13</v>
      </c>
      <c r="H122" s="17">
        <f>VLOOKUP($B122,'MAIN DATA, Orders'!$A:$J,10,0)</f>
        <v>10000000</v>
      </c>
      <c r="I122" s="17">
        <f>VLOOKUP($B122,'MAIN DATA, Orders'!$A:$J,9,0)</f>
        <v>5</v>
      </c>
    </row>
    <row r="123" spans="2:9">
      <c r="B123" s="199" t="s">
        <v>777</v>
      </c>
      <c r="C123" s="199" t="str">
        <f>VLOOKUP($B123,'MAIN DATA, Orders'!$A:$J,3,0)</f>
        <v>Germany</v>
      </c>
      <c r="D123" s="199" t="str">
        <f>VLOOKUP($B123,'MAIN DATA, Orders'!$A:$J,5,0)</f>
        <v>COMSATBw 1 and 2 satellites - contract extension (5 years)</v>
      </c>
      <c r="E123" s="199" t="str">
        <f>VLOOKUP($B123,'MAIN DATA, Orders'!$A:$J,6,0)</f>
        <v>Communication and digitalisation</v>
      </c>
      <c r="F123" s="199" t="str">
        <f>VLOOKUP($B123,'MAIN DATA, Orders'!$A:$J,7,0)</f>
        <v>Modernisation</v>
      </c>
      <c r="G123" s="97">
        <f>VLOOKUP($B123,'MAIN DATA, Orders'!$A:$J,8,0)</f>
        <v>13</v>
      </c>
      <c r="H123" s="17">
        <f>VLOOKUP($B123,'MAIN DATA, Orders'!$A:$J,10,0)</f>
        <v>10560000</v>
      </c>
      <c r="I123" s="17">
        <f>VLOOKUP($B123,'MAIN DATA, Orders'!$A:$J,9,0)</f>
        <v>5</v>
      </c>
    </row>
    <row r="124" spans="2:9">
      <c r="B124" s="151" t="s">
        <v>1043</v>
      </c>
      <c r="C124" s="151" t="str">
        <f>VLOOKUP($B124,'MAIN DATA, Orders'!$A:$J,3,0)</f>
        <v>Germany</v>
      </c>
      <c r="D124" s="151" t="str">
        <f>VLOOKUP($B124,'MAIN DATA, Orders'!$A:$J,5,0)</f>
        <v>Military vehicle maintentance - contract extension (10 years)</v>
      </c>
      <c r="E124" s="151" t="str">
        <f>VLOOKUP($B124,'MAIN DATA, Orders'!$A:$J,6,0)</f>
        <v>Military vehicle maintentance</v>
      </c>
      <c r="F124" s="151" t="str">
        <f>VLOOKUP($B124,'MAIN DATA, Orders'!$A:$J,7,0)</f>
        <v>Maintenance</v>
      </c>
      <c r="G124" s="171">
        <f>VLOOKUP($B124,'MAIN DATA, Orders'!$A:$J,8,0)</f>
        <v>14</v>
      </c>
      <c r="H124" s="60">
        <f>VLOOKUP($B124,'MAIN DATA, Orders'!$A:$J,10,0)</f>
        <v>1340000000</v>
      </c>
      <c r="I124" s="60">
        <f>VLOOKUP($B124,'MAIN DATA, Orders'!$A:$J,9,0)</f>
        <v>10</v>
      </c>
    </row>
  </sheetData>
  <mergeCells count="1">
    <mergeCell ref="B4:E4"/>
  </mergeCell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8E311-DBA0-4FB3-BB80-FE1A110334DB}">
  <sheetPr>
    <tabColor theme="9" tint="0.59999389629810485"/>
  </sheetPr>
  <dimension ref="B2:G50"/>
  <sheetViews>
    <sheetView zoomScaleNormal="100" workbookViewId="0"/>
  </sheetViews>
  <sheetFormatPr defaultColWidth="8.69921875" defaultRowHeight="15.6"/>
  <cols>
    <col min="1" max="1" width="8.69921875" style="1"/>
    <col min="2" max="2" width="43.09765625" style="1" bestFit="1" customWidth="1"/>
    <col min="3" max="3" width="10" style="1" customWidth="1"/>
    <col min="4" max="4" width="15.69921875" style="1" bestFit="1" customWidth="1"/>
    <col min="5" max="5" width="15.69921875" style="1" customWidth="1"/>
    <col min="6" max="6" width="23.3984375" style="1" bestFit="1" customWidth="1"/>
    <col min="7" max="7" width="19.8984375" style="1" bestFit="1" customWidth="1"/>
    <col min="8" max="16384" width="8.69921875" style="1"/>
  </cols>
  <sheetData>
    <row r="2" spans="2:7" ht="25.2">
      <c r="B2" s="73" t="s">
        <v>1693</v>
      </c>
    </row>
    <row r="4" spans="2:7" ht="45.6" customHeight="1">
      <c r="B4" s="215" t="s">
        <v>1694</v>
      </c>
      <c r="C4" s="215"/>
      <c r="D4" s="215"/>
      <c r="E4" s="215"/>
      <c r="F4" s="215"/>
    </row>
    <row r="5" spans="2:7">
      <c r="B5" s="199"/>
      <c r="C5" s="199"/>
      <c r="D5" s="199"/>
      <c r="E5" s="11"/>
      <c r="F5" s="199"/>
      <c r="G5" s="199"/>
    </row>
    <row r="6" spans="2:7" ht="18">
      <c r="B6" s="12"/>
      <c r="C6" s="199"/>
      <c r="D6" s="11" t="s">
        <v>1695</v>
      </c>
      <c r="E6" s="11"/>
      <c r="F6" s="199"/>
      <c r="G6" s="199"/>
    </row>
    <row r="7" spans="2:7">
      <c r="B7" s="199" t="s">
        <v>1696</v>
      </c>
      <c r="C7" s="199">
        <v>16</v>
      </c>
      <c r="D7" s="13" t="s">
        <v>162</v>
      </c>
      <c r="E7" s="13"/>
      <c r="F7" s="199"/>
      <c r="G7" s="14"/>
    </row>
    <row r="8" spans="2:7">
      <c r="B8" s="199" t="s">
        <v>1697</v>
      </c>
      <c r="C8" s="199">
        <v>9</v>
      </c>
      <c r="D8" s="15">
        <f>C8/C7</f>
        <v>0.5625</v>
      </c>
      <c r="E8" s="15"/>
      <c r="F8" s="199"/>
      <c r="G8" s="199"/>
    </row>
    <row r="9" spans="2:7">
      <c r="B9" s="199" t="s">
        <v>1698</v>
      </c>
      <c r="C9" s="199">
        <v>9</v>
      </c>
      <c r="D9" s="15">
        <f>C9/C7</f>
        <v>0.5625</v>
      </c>
      <c r="E9" s="15"/>
      <c r="F9" s="199"/>
      <c r="G9" s="14"/>
    </row>
    <row r="10" spans="2:7">
      <c r="B10" s="199" t="s">
        <v>1699</v>
      </c>
      <c r="C10" s="199">
        <v>6</v>
      </c>
      <c r="D10" s="15">
        <f>C10/C7</f>
        <v>0.375</v>
      </c>
      <c r="E10" s="15"/>
      <c r="F10" s="199"/>
      <c r="G10" s="199"/>
    </row>
    <row r="11" spans="2:7">
      <c r="B11" s="199"/>
      <c r="C11" s="199"/>
      <c r="D11" s="15"/>
      <c r="E11" s="15"/>
      <c r="F11" s="199"/>
      <c r="G11" s="199"/>
    </row>
    <row r="12" spans="2:7">
      <c r="B12" s="11" t="s">
        <v>1395</v>
      </c>
      <c r="C12" s="11" t="s">
        <v>1400</v>
      </c>
      <c r="D12" s="11" t="s">
        <v>1700</v>
      </c>
      <c r="E12" s="11" t="s">
        <v>1701</v>
      </c>
      <c r="F12" s="11" t="s">
        <v>1702</v>
      </c>
      <c r="G12" s="11" t="s">
        <v>1703</v>
      </c>
    </row>
    <row r="13" spans="2:7">
      <c r="B13" s="11"/>
      <c r="C13" s="11"/>
      <c r="D13" s="11"/>
      <c r="E13" s="11"/>
      <c r="F13" s="11"/>
      <c r="G13" s="11"/>
    </row>
    <row r="14" spans="2:7">
      <c r="B14" s="11" t="s">
        <v>1704</v>
      </c>
      <c r="C14" s="11"/>
      <c r="D14" s="11"/>
      <c r="E14" s="11"/>
      <c r="F14" s="11"/>
      <c r="G14" s="11"/>
    </row>
    <row r="15" spans="2:7">
      <c r="B15" s="199" t="s">
        <v>1252</v>
      </c>
      <c r="C15" s="16" t="s">
        <v>162</v>
      </c>
      <c r="D15" s="14">
        <v>1300000000</v>
      </c>
      <c r="E15" s="199">
        <v>2024</v>
      </c>
      <c r="F15" s="199">
        <v>2027</v>
      </c>
      <c r="G15" s="199">
        <v>2031</v>
      </c>
    </row>
    <row r="16" spans="2:7">
      <c r="B16" s="199" t="s">
        <v>1252</v>
      </c>
      <c r="C16" s="17">
        <v>300000</v>
      </c>
      <c r="D16" s="14">
        <v>880000000</v>
      </c>
      <c r="E16" s="199">
        <v>2024</v>
      </c>
      <c r="F16" s="199">
        <v>2025</v>
      </c>
      <c r="G16" s="16" t="s">
        <v>162</v>
      </c>
    </row>
    <row r="17" spans="2:7">
      <c r="B17" s="199" t="s">
        <v>1077</v>
      </c>
      <c r="C17" s="17">
        <v>68000</v>
      </c>
      <c r="D17" s="17">
        <v>278000000</v>
      </c>
      <c r="E17" s="199">
        <v>2023</v>
      </c>
      <c r="F17" s="16" t="s">
        <v>162</v>
      </c>
      <c r="G17" s="16" t="s">
        <v>162</v>
      </c>
    </row>
    <row r="18" spans="2:7">
      <c r="B18" s="199" t="s">
        <v>954</v>
      </c>
      <c r="C18" s="17">
        <v>4700</v>
      </c>
      <c r="D18" s="17">
        <v>27300000</v>
      </c>
      <c r="E18" s="199">
        <v>2023</v>
      </c>
      <c r="F18" s="16" t="s">
        <v>162</v>
      </c>
      <c r="G18" s="199">
        <v>2025</v>
      </c>
    </row>
    <row r="19" spans="2:7">
      <c r="B19" s="199" t="s">
        <v>162</v>
      </c>
      <c r="C19" s="34" t="s">
        <v>162</v>
      </c>
      <c r="D19" s="17">
        <v>128000000</v>
      </c>
      <c r="E19" s="199">
        <v>2023</v>
      </c>
      <c r="F19" s="16" t="s">
        <v>162</v>
      </c>
      <c r="G19" s="16" t="s">
        <v>162</v>
      </c>
    </row>
    <row r="20" spans="2:7">
      <c r="B20" s="199" t="s">
        <v>971</v>
      </c>
      <c r="C20" s="16" t="s">
        <v>162</v>
      </c>
      <c r="D20" s="16" t="s">
        <v>162</v>
      </c>
      <c r="E20" s="199">
        <v>2023</v>
      </c>
      <c r="F20" s="199">
        <v>2023</v>
      </c>
      <c r="G20" s="199">
        <v>2025</v>
      </c>
    </row>
    <row r="21" spans="2:7">
      <c r="B21" s="199" t="s">
        <v>973</v>
      </c>
      <c r="C21" s="16" t="s">
        <v>162</v>
      </c>
      <c r="D21" s="16" t="s">
        <v>162</v>
      </c>
      <c r="E21" s="199">
        <v>2023</v>
      </c>
      <c r="F21" s="199">
        <v>2023</v>
      </c>
      <c r="G21" s="16" t="s">
        <v>162</v>
      </c>
    </row>
    <row r="22" spans="2:7">
      <c r="B22" s="18"/>
      <c r="C22" s="20">
        <f>SUM(C15:C21)</f>
        <v>372700</v>
      </c>
      <c r="D22" s="20">
        <f>SUM(D15:D21)</f>
        <v>2613300000</v>
      </c>
      <c r="E22" s="199"/>
      <c r="F22" s="199"/>
      <c r="G22" s="199"/>
    </row>
    <row r="23" spans="2:7">
      <c r="B23" s="11"/>
      <c r="C23" s="11"/>
      <c r="D23" s="11"/>
      <c r="E23" s="11"/>
      <c r="F23" s="11"/>
      <c r="G23" s="11"/>
    </row>
    <row r="24" spans="2:7">
      <c r="B24" s="11" t="s">
        <v>1705</v>
      </c>
      <c r="C24" s="199"/>
      <c r="D24" s="199"/>
      <c r="E24" s="199"/>
      <c r="F24" s="199"/>
      <c r="G24" s="199"/>
    </row>
    <row r="25" spans="2:7">
      <c r="B25" s="199" t="s">
        <v>162</v>
      </c>
      <c r="C25" s="16" t="s">
        <v>162</v>
      </c>
      <c r="D25" s="17">
        <v>381000000</v>
      </c>
      <c r="E25" s="199">
        <v>2023</v>
      </c>
      <c r="F25" s="16" t="s">
        <v>162</v>
      </c>
      <c r="G25" s="199"/>
    </row>
    <row r="26" spans="2:7">
      <c r="B26" s="199" t="s">
        <v>1706</v>
      </c>
      <c r="C26" s="17">
        <v>80000</v>
      </c>
      <c r="D26" s="16" t="s">
        <v>162</v>
      </c>
      <c r="E26" s="199">
        <v>2023</v>
      </c>
      <c r="F26" s="16" t="s">
        <v>162</v>
      </c>
      <c r="G26" s="199">
        <v>2025</v>
      </c>
    </row>
    <row r="27" spans="2:7">
      <c r="B27" s="199" t="s">
        <v>1707</v>
      </c>
      <c r="C27" s="17">
        <v>33000</v>
      </c>
      <c r="D27" s="16" t="s">
        <v>162</v>
      </c>
      <c r="E27" s="199">
        <v>2023</v>
      </c>
      <c r="F27" s="16" t="s">
        <v>162</v>
      </c>
      <c r="G27" s="199">
        <v>2025</v>
      </c>
    </row>
    <row r="28" spans="2:7">
      <c r="B28" s="199" t="s">
        <v>1708</v>
      </c>
      <c r="C28" s="34" t="s">
        <v>162</v>
      </c>
      <c r="D28" s="17">
        <v>67600000</v>
      </c>
      <c r="E28" s="199">
        <v>2023</v>
      </c>
      <c r="F28" s="16" t="s">
        <v>162</v>
      </c>
      <c r="G28" s="16" t="s">
        <v>162</v>
      </c>
    </row>
    <row r="29" spans="2:7">
      <c r="B29" s="199" t="s">
        <v>1708</v>
      </c>
      <c r="C29" s="17">
        <v>25000</v>
      </c>
      <c r="D29" s="16" t="s">
        <v>162</v>
      </c>
      <c r="E29" s="199">
        <v>2022</v>
      </c>
      <c r="F29" s="199">
        <v>2022</v>
      </c>
      <c r="G29" s="16" t="s">
        <v>162</v>
      </c>
    </row>
    <row r="30" spans="2:7">
      <c r="B30" s="199" t="s">
        <v>1709</v>
      </c>
      <c r="C30" s="17">
        <v>20715</v>
      </c>
      <c r="D30" s="17">
        <v>42100000</v>
      </c>
      <c r="E30" s="199">
        <v>2022</v>
      </c>
      <c r="F30" s="199">
        <v>2022</v>
      </c>
      <c r="G30" s="199">
        <v>2022</v>
      </c>
    </row>
    <row r="31" spans="2:7">
      <c r="B31" s="199" t="s">
        <v>1709</v>
      </c>
      <c r="C31" s="17">
        <v>15000</v>
      </c>
      <c r="D31" s="17">
        <v>26000000</v>
      </c>
      <c r="E31" s="199">
        <v>2020</v>
      </c>
      <c r="F31" s="199">
        <v>2020</v>
      </c>
      <c r="G31" s="199">
        <v>2020</v>
      </c>
    </row>
    <row r="32" spans="2:7">
      <c r="B32" s="18"/>
      <c r="C32" s="20">
        <f>SUM(C25:C31)</f>
        <v>173715</v>
      </c>
      <c r="D32" s="20">
        <f>SUM(D25:D31)</f>
        <v>516700000</v>
      </c>
      <c r="E32" s="199"/>
      <c r="F32" s="199"/>
      <c r="G32" s="199"/>
    </row>
    <row r="34" spans="2:7">
      <c r="B34" s="11" t="s">
        <v>1710</v>
      </c>
      <c r="C34" s="199"/>
      <c r="D34" s="17"/>
      <c r="E34" s="199"/>
      <c r="F34" s="199"/>
      <c r="G34" s="199"/>
    </row>
    <row r="35" spans="2:7">
      <c r="B35" s="199" t="s">
        <v>1711</v>
      </c>
      <c r="C35" s="60">
        <v>300000</v>
      </c>
      <c r="D35" s="17">
        <v>168000000</v>
      </c>
      <c r="E35" s="199">
        <v>2023</v>
      </c>
      <c r="F35" s="199">
        <v>2023</v>
      </c>
      <c r="G35" s="199">
        <v>2023</v>
      </c>
    </row>
    <row r="36" spans="2:7">
      <c r="B36" s="199"/>
      <c r="C36" s="59">
        <f>SUM(C35)</f>
        <v>300000</v>
      </c>
      <c r="D36" s="20">
        <f>SUM(D35)</f>
        <v>168000000</v>
      </c>
      <c r="E36" s="199"/>
      <c r="F36" s="199"/>
      <c r="G36" s="199"/>
    </row>
    <row r="37" spans="2:7">
      <c r="B37" s="199"/>
      <c r="C37" s="199"/>
      <c r="D37" s="17"/>
      <c r="E37" s="199"/>
      <c r="F37" s="199"/>
      <c r="G37" s="199"/>
    </row>
    <row r="38" spans="2:7">
      <c r="B38" s="11" t="s">
        <v>1712</v>
      </c>
      <c r="C38" s="199"/>
      <c r="D38" s="17"/>
      <c r="E38" s="199"/>
      <c r="F38" s="199"/>
      <c r="G38" s="199"/>
    </row>
    <row r="39" spans="2:7">
      <c r="B39" s="199" t="s">
        <v>975</v>
      </c>
      <c r="C39" s="16" t="s">
        <v>162</v>
      </c>
      <c r="D39" s="16" t="s">
        <v>162</v>
      </c>
      <c r="E39" s="199">
        <v>2023</v>
      </c>
      <c r="F39" s="16" t="s">
        <v>162</v>
      </c>
      <c r="G39" s="16" t="s">
        <v>162</v>
      </c>
    </row>
    <row r="40" spans="2:7">
      <c r="B40" s="45" t="s">
        <v>1183</v>
      </c>
      <c r="C40" s="17">
        <v>15180</v>
      </c>
      <c r="D40" s="17">
        <v>54000000</v>
      </c>
      <c r="E40" s="199">
        <v>2024</v>
      </c>
      <c r="F40" s="199">
        <v>2024</v>
      </c>
      <c r="G40" s="199">
        <v>2026</v>
      </c>
    </row>
    <row r="41" spans="2:7">
      <c r="B41" s="199" t="s">
        <v>585</v>
      </c>
      <c r="C41" s="16" t="s">
        <v>162</v>
      </c>
      <c r="D41" s="17">
        <v>52000000</v>
      </c>
      <c r="E41" s="199">
        <v>2021</v>
      </c>
      <c r="F41" s="16" t="s">
        <v>162</v>
      </c>
      <c r="G41" s="16" t="s">
        <v>162</v>
      </c>
    </row>
    <row r="42" spans="2:7">
      <c r="B42" s="199"/>
      <c r="C42" s="17">
        <f>SUM(C39:C41)</f>
        <v>15180</v>
      </c>
      <c r="D42" s="20">
        <f>SUM(D39:D41)</f>
        <v>106000000</v>
      </c>
      <c r="E42" s="199"/>
      <c r="F42" s="199"/>
      <c r="G42" s="199"/>
    </row>
    <row r="43" spans="2:7">
      <c r="B43" s="199"/>
      <c r="C43" s="22"/>
      <c r="D43" s="23"/>
      <c r="E43" s="199"/>
      <c r="F43" s="199"/>
      <c r="G43" s="199"/>
    </row>
    <row r="44" spans="2:7">
      <c r="B44" s="24" t="s">
        <v>1713</v>
      </c>
      <c r="C44" s="25"/>
      <c r="D44" s="26"/>
      <c r="E44" s="199"/>
      <c r="F44" s="199"/>
      <c r="G44" s="199"/>
    </row>
    <row r="45" spans="2:7">
      <c r="B45" s="27"/>
      <c r="C45" s="24" t="s">
        <v>1400</v>
      </c>
      <c r="D45" s="24" t="s">
        <v>1700</v>
      </c>
      <c r="E45" s="199"/>
      <c r="F45" s="199"/>
      <c r="G45" s="199"/>
    </row>
    <row r="46" spans="2:7">
      <c r="B46" s="27" t="s">
        <v>1704</v>
      </c>
      <c r="C46" s="39">
        <f>C22</f>
        <v>372700</v>
      </c>
      <c r="D46" s="28">
        <f>D22</f>
        <v>2613300000</v>
      </c>
      <c r="E46" s="199"/>
      <c r="F46" s="199"/>
      <c r="G46" s="199"/>
    </row>
    <row r="47" spans="2:7">
      <c r="B47" s="27" t="s">
        <v>1705</v>
      </c>
      <c r="C47" s="39">
        <f>C32</f>
        <v>173715</v>
      </c>
      <c r="D47" s="28">
        <f>D32</f>
        <v>516700000</v>
      </c>
      <c r="E47" s="199"/>
      <c r="F47" s="199"/>
      <c r="G47" s="199"/>
    </row>
    <row r="48" spans="2:7">
      <c r="B48" s="27" t="s">
        <v>1710</v>
      </c>
      <c r="C48" s="39">
        <f>C36</f>
        <v>300000</v>
      </c>
      <c r="D48" s="28">
        <f>D36</f>
        <v>168000000</v>
      </c>
      <c r="E48" s="199"/>
      <c r="F48" s="199"/>
      <c r="G48" s="199"/>
    </row>
    <row r="49" spans="2:4">
      <c r="B49" s="27" t="s">
        <v>1712</v>
      </c>
      <c r="C49" s="39">
        <f>C42</f>
        <v>15180</v>
      </c>
      <c r="D49" s="28">
        <f>D42</f>
        <v>106000000</v>
      </c>
    </row>
    <row r="50" spans="2:4">
      <c r="B50" s="29" t="s">
        <v>1714</v>
      </c>
      <c r="C50" s="58">
        <f>SUM(C46:C49)</f>
        <v>861595</v>
      </c>
      <c r="D50" s="30">
        <f>SUM(D46:D49)</f>
        <v>3404000000</v>
      </c>
    </row>
  </sheetData>
  <mergeCells count="1">
    <mergeCell ref="B4:F4"/>
  </mergeCells>
  <pageMargins left="0.7" right="0.7" top="0.75" bottom="0.75" header="0.3" footer="0.3"/>
  <pageSetup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67DA1-0209-4389-82C6-6FD5B10FAF3C}">
  <sheetPr>
    <tabColor theme="9" tint="0.59999389629810485"/>
  </sheetPr>
  <dimension ref="B2:F15"/>
  <sheetViews>
    <sheetView workbookViewId="0"/>
  </sheetViews>
  <sheetFormatPr defaultColWidth="8.69921875" defaultRowHeight="15.6"/>
  <cols>
    <col min="1" max="1" width="8.69921875" style="1"/>
    <col min="2" max="2" width="12.69921875" style="1" customWidth="1"/>
    <col min="3" max="3" width="25.59765625" style="1" bestFit="1" customWidth="1"/>
    <col min="4" max="4" width="20.19921875" style="1" bestFit="1" customWidth="1"/>
    <col min="5" max="16384" width="8.69921875" style="1"/>
  </cols>
  <sheetData>
    <row r="2" spans="2:6" ht="25.2">
      <c r="B2" s="90" t="s">
        <v>1715</v>
      </c>
    </row>
    <row r="3" spans="2:6" ht="17.399999999999999">
      <c r="B3" s="6"/>
    </row>
    <row r="4" spans="2:6" ht="31.95" customHeight="1">
      <c r="B4" s="206" t="s">
        <v>1716</v>
      </c>
      <c r="C4" s="206"/>
      <c r="D4" s="206"/>
      <c r="E4" s="206"/>
      <c r="F4" s="206"/>
    </row>
    <row r="5" spans="2:6">
      <c r="B5" s="198"/>
      <c r="C5" s="198"/>
      <c r="D5" s="198"/>
      <c r="E5" s="198"/>
      <c r="F5" s="198"/>
    </row>
    <row r="6" spans="2:6" ht="18">
      <c r="B6" s="31"/>
      <c r="C6" s="32"/>
      <c r="D6" s="31"/>
    </row>
    <row r="7" spans="2:6" ht="18.600000000000001">
      <c r="B7" s="55" t="s">
        <v>1393</v>
      </c>
      <c r="C7" s="55" t="s">
        <v>1395</v>
      </c>
      <c r="D7" s="55" t="s">
        <v>1717</v>
      </c>
    </row>
    <row r="8" spans="2:6">
      <c r="B8" s="199" t="s">
        <v>953</v>
      </c>
      <c r="C8" s="199" t="s">
        <v>1362</v>
      </c>
      <c r="D8" s="17">
        <v>118000000</v>
      </c>
    </row>
    <row r="9" spans="2:6">
      <c r="B9" s="199" t="s">
        <v>963</v>
      </c>
      <c r="C9" s="199" t="s">
        <v>973</v>
      </c>
      <c r="D9" s="17">
        <v>246000000</v>
      </c>
    </row>
    <row r="10" spans="2:6">
      <c r="B10" s="199" t="s">
        <v>1251</v>
      </c>
      <c r="C10" s="199" t="s">
        <v>1252</v>
      </c>
      <c r="D10" s="17">
        <v>8500000000</v>
      </c>
    </row>
    <row r="11" spans="2:6">
      <c r="B11" s="199" t="s">
        <v>1076</v>
      </c>
      <c r="C11" s="199" t="s">
        <v>1252</v>
      </c>
      <c r="D11" s="33" t="s">
        <v>1586</v>
      </c>
    </row>
    <row r="12" spans="2:6">
      <c r="B12" s="199" t="s">
        <v>266</v>
      </c>
      <c r="C12" s="199" t="s">
        <v>986</v>
      </c>
      <c r="D12" s="17">
        <v>4000000000</v>
      </c>
    </row>
    <row r="13" spans="2:6">
      <c r="B13" s="94" t="s">
        <v>1182</v>
      </c>
      <c r="C13" s="199" t="s">
        <v>1531</v>
      </c>
      <c r="D13" s="34" t="s">
        <v>1586</v>
      </c>
    </row>
    <row r="14" spans="2:6">
      <c r="B14" s="199" t="s">
        <v>719</v>
      </c>
      <c r="C14" s="199" t="s">
        <v>720</v>
      </c>
      <c r="D14" s="17">
        <v>576000000</v>
      </c>
    </row>
    <row r="15" spans="2:6">
      <c r="B15" s="35"/>
      <c r="C15" s="36" t="s">
        <v>1718</v>
      </c>
      <c r="D15" s="30">
        <f>SUM(D8:D14)</f>
        <v>13440000000</v>
      </c>
    </row>
  </sheetData>
  <mergeCells count="1">
    <mergeCell ref="B4:F4"/>
  </mergeCells>
  <pageMargins left="0.7" right="0.7" top="0.75" bottom="0.75" header="0.3" footer="0.3"/>
  <pageSetup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A3110-D98D-45C6-8F78-E53BB62EAB62}">
  <sheetPr>
    <tabColor theme="9" tint="0.59999389629810485"/>
  </sheetPr>
  <dimension ref="B2:I27"/>
  <sheetViews>
    <sheetView workbookViewId="0"/>
  </sheetViews>
  <sheetFormatPr defaultColWidth="8.69921875" defaultRowHeight="15.6"/>
  <cols>
    <col min="1" max="1" width="8.69921875" style="1"/>
    <col min="2" max="2" width="13.3984375" style="1" bestFit="1" customWidth="1"/>
    <col min="3" max="3" width="29.19921875" style="1" bestFit="1" customWidth="1"/>
    <col min="4" max="4" width="10.19921875" style="1" bestFit="1" customWidth="1"/>
    <col min="5" max="5" width="14.19921875" style="1" bestFit="1" customWidth="1"/>
    <col min="6" max="6" width="13.8984375" style="1" bestFit="1" customWidth="1"/>
    <col min="7" max="7" width="20" style="1" bestFit="1" customWidth="1"/>
    <col min="8" max="8" width="22.3984375" style="1" bestFit="1" customWidth="1"/>
    <col min="9" max="9" width="16" style="1" bestFit="1" customWidth="1"/>
    <col min="10" max="16384" width="8.69921875" style="1"/>
  </cols>
  <sheetData>
    <row r="2" spans="2:9" ht="25.2">
      <c r="B2" s="90" t="s">
        <v>1719</v>
      </c>
    </row>
    <row r="4" spans="2:9" ht="132" customHeight="1">
      <c r="B4" s="215" t="s">
        <v>1720</v>
      </c>
      <c r="C4" s="216"/>
      <c r="D4" s="216"/>
      <c r="E4" s="216"/>
      <c r="F4" s="216"/>
      <c r="G4" s="216"/>
      <c r="H4" s="216"/>
      <c r="I4" s="216"/>
    </row>
    <row r="5" spans="2:9" ht="17.399999999999999">
      <c r="B5" s="6"/>
    </row>
    <row r="6" spans="2:9">
      <c r="B6" s="31"/>
      <c r="C6" s="31"/>
      <c r="D6" s="31"/>
      <c r="E6" s="31"/>
      <c r="F6" s="31"/>
      <c r="G6" s="31"/>
      <c r="H6" s="31"/>
      <c r="I6" s="31"/>
    </row>
    <row r="7" spans="2:9" ht="18.600000000000001">
      <c r="B7" s="56" t="s">
        <v>1393</v>
      </c>
      <c r="C7" s="56" t="s">
        <v>1395</v>
      </c>
      <c r="D7" s="56" t="s">
        <v>1721</v>
      </c>
      <c r="E7" s="56" t="s">
        <v>1650</v>
      </c>
      <c r="F7" s="56" t="s">
        <v>1722</v>
      </c>
      <c r="G7" s="56" t="s">
        <v>1723</v>
      </c>
      <c r="H7" s="56" t="s">
        <v>1724</v>
      </c>
      <c r="I7" s="56" t="s">
        <v>1725</v>
      </c>
    </row>
    <row r="8" spans="2:9">
      <c r="B8" s="25" t="s">
        <v>953</v>
      </c>
      <c r="C8" s="25" t="s">
        <v>1362</v>
      </c>
      <c r="D8" s="37" t="s">
        <v>162</v>
      </c>
      <c r="E8" s="37" t="s">
        <v>162</v>
      </c>
      <c r="F8" s="37" t="s">
        <v>162</v>
      </c>
      <c r="G8" s="38">
        <v>118000000</v>
      </c>
      <c r="H8" s="39">
        <v>27300000</v>
      </c>
      <c r="I8" s="39">
        <v>4700</v>
      </c>
    </row>
    <row r="9" spans="2:9">
      <c r="B9" s="199" t="s">
        <v>1363</v>
      </c>
      <c r="C9" s="199" t="s">
        <v>162</v>
      </c>
      <c r="D9" s="16" t="s">
        <v>162</v>
      </c>
      <c r="E9" s="16" t="s">
        <v>162</v>
      </c>
      <c r="F9" s="16" t="s">
        <v>162</v>
      </c>
      <c r="G9" s="199"/>
      <c r="H9" s="199"/>
      <c r="I9" s="199"/>
    </row>
    <row r="10" spans="2:9">
      <c r="B10" s="199" t="s">
        <v>1364</v>
      </c>
      <c r="C10" s="199" t="s">
        <v>162</v>
      </c>
      <c r="D10" s="40">
        <v>45125</v>
      </c>
      <c r="E10" s="41">
        <v>350000</v>
      </c>
      <c r="F10" s="17">
        <v>118000000</v>
      </c>
      <c r="G10" s="199"/>
      <c r="H10" s="199"/>
      <c r="I10" s="199"/>
    </row>
    <row r="11" spans="2:9">
      <c r="B11" s="25" t="s">
        <v>963</v>
      </c>
      <c r="C11" s="25" t="s">
        <v>973</v>
      </c>
      <c r="D11" s="37" t="s">
        <v>162</v>
      </c>
      <c r="E11" s="37" t="s">
        <v>162</v>
      </c>
      <c r="F11" s="37" t="s">
        <v>162</v>
      </c>
      <c r="G11" s="38">
        <v>246000000</v>
      </c>
      <c r="H11" s="39">
        <v>128000000</v>
      </c>
      <c r="I11" s="42" t="s">
        <v>1586</v>
      </c>
    </row>
    <row r="12" spans="2:9">
      <c r="B12" s="199" t="s">
        <v>1366</v>
      </c>
      <c r="C12" s="199" t="s">
        <v>162</v>
      </c>
      <c r="D12" s="16" t="s">
        <v>162</v>
      </c>
      <c r="E12" s="16" t="s">
        <v>162</v>
      </c>
      <c r="F12" s="17">
        <v>137000000</v>
      </c>
      <c r="G12" s="199"/>
      <c r="H12" s="199"/>
      <c r="I12" s="199"/>
    </row>
    <row r="13" spans="2:9">
      <c r="B13" s="199" t="s">
        <v>1368</v>
      </c>
      <c r="C13" s="199" t="s">
        <v>162</v>
      </c>
      <c r="D13" s="40">
        <v>45125</v>
      </c>
      <c r="E13" s="16" t="s">
        <v>162</v>
      </c>
      <c r="F13" s="17">
        <v>109000000</v>
      </c>
      <c r="G13" s="199"/>
      <c r="H13" s="199"/>
      <c r="I13" s="199"/>
    </row>
    <row r="14" spans="2:9">
      <c r="B14" s="25" t="s">
        <v>1251</v>
      </c>
      <c r="C14" s="25" t="s">
        <v>1252</v>
      </c>
      <c r="D14" s="37" t="s">
        <v>162</v>
      </c>
      <c r="E14" s="37" t="s">
        <v>162</v>
      </c>
      <c r="F14" s="37" t="s">
        <v>162</v>
      </c>
      <c r="G14" s="38">
        <v>8500000000</v>
      </c>
      <c r="H14" s="39">
        <v>2180000000</v>
      </c>
      <c r="I14" s="43">
        <v>300000</v>
      </c>
    </row>
    <row r="15" spans="2:9">
      <c r="B15" s="199" t="s">
        <v>1376</v>
      </c>
      <c r="C15" s="199" t="s">
        <v>162</v>
      </c>
      <c r="D15" s="40">
        <v>45125</v>
      </c>
      <c r="E15" s="41">
        <v>350000</v>
      </c>
      <c r="F15" s="17">
        <v>1200000000</v>
      </c>
      <c r="G15" s="199"/>
      <c r="H15" s="199"/>
      <c r="I15" s="199"/>
    </row>
    <row r="16" spans="2:9">
      <c r="B16" s="199" t="s">
        <v>1379</v>
      </c>
      <c r="C16" s="199" t="s">
        <v>162</v>
      </c>
      <c r="D16" s="40">
        <v>45448</v>
      </c>
      <c r="E16" s="16" t="s">
        <v>162</v>
      </c>
      <c r="F16" s="17">
        <v>7300000000</v>
      </c>
      <c r="G16" s="199"/>
      <c r="H16" s="199"/>
      <c r="I16" s="199"/>
    </row>
    <row r="17" spans="2:9">
      <c r="B17" s="25" t="s">
        <v>1076</v>
      </c>
      <c r="C17" s="25" t="s">
        <v>1252</v>
      </c>
      <c r="D17" s="37" t="s">
        <v>162</v>
      </c>
      <c r="E17" s="37" t="s">
        <v>162</v>
      </c>
      <c r="F17" s="37" t="s">
        <v>162</v>
      </c>
      <c r="G17" s="37" t="s">
        <v>1586</v>
      </c>
      <c r="H17" s="39">
        <v>278000000</v>
      </c>
      <c r="I17" s="44">
        <v>68000</v>
      </c>
    </row>
    <row r="18" spans="2:9">
      <c r="B18" s="199" t="s">
        <v>1382</v>
      </c>
      <c r="C18" s="199" t="s">
        <v>162</v>
      </c>
      <c r="D18" s="40">
        <v>45274</v>
      </c>
      <c r="E18" s="41">
        <v>350000</v>
      </c>
      <c r="F18" s="16" t="s">
        <v>162</v>
      </c>
      <c r="G18" s="199"/>
      <c r="H18" s="199"/>
      <c r="I18" s="199"/>
    </row>
    <row r="19" spans="2:9">
      <c r="B19" s="25" t="s">
        <v>266</v>
      </c>
      <c r="C19" s="25" t="s">
        <v>986</v>
      </c>
      <c r="D19" s="37" t="s">
        <v>162</v>
      </c>
      <c r="E19" s="37" t="s">
        <v>162</v>
      </c>
      <c r="F19" s="37" t="s">
        <v>162</v>
      </c>
      <c r="G19" s="38">
        <v>4000000000</v>
      </c>
      <c r="H19" s="39">
        <v>449100000</v>
      </c>
      <c r="I19" s="44">
        <v>148715</v>
      </c>
    </row>
    <row r="20" spans="2:9">
      <c r="B20" s="45" t="s">
        <v>1384</v>
      </c>
      <c r="C20" s="199" t="s">
        <v>162</v>
      </c>
      <c r="D20" s="46">
        <v>44182</v>
      </c>
      <c r="E20" s="47">
        <v>203000</v>
      </c>
      <c r="F20" s="17">
        <v>556000000</v>
      </c>
      <c r="G20" s="199"/>
      <c r="H20" s="199"/>
      <c r="I20" s="199"/>
    </row>
    <row r="21" spans="2:9">
      <c r="B21" s="199" t="s">
        <v>1386</v>
      </c>
      <c r="C21" s="199" t="s">
        <v>162</v>
      </c>
      <c r="D21" s="40">
        <v>45120</v>
      </c>
      <c r="E21" s="16" t="s">
        <v>162</v>
      </c>
      <c r="F21" s="17">
        <v>3444000000</v>
      </c>
      <c r="G21" s="199"/>
      <c r="H21" s="199"/>
      <c r="I21" s="199"/>
    </row>
    <row r="22" spans="2:9">
      <c r="B22" s="96" t="s">
        <v>1182</v>
      </c>
      <c r="C22" s="25" t="s">
        <v>1531</v>
      </c>
      <c r="D22" s="48" t="s">
        <v>162</v>
      </c>
      <c r="E22" s="49" t="s">
        <v>162</v>
      </c>
      <c r="F22" s="39"/>
      <c r="G22" s="37" t="s">
        <v>1586</v>
      </c>
      <c r="H22" s="50">
        <v>54000000</v>
      </c>
      <c r="I22" s="57">
        <v>15180</v>
      </c>
    </row>
    <row r="23" spans="2:9">
      <c r="B23" s="94" t="s">
        <v>1389</v>
      </c>
      <c r="C23" s="199"/>
      <c r="D23" s="95">
        <v>45392</v>
      </c>
      <c r="E23" s="94">
        <v>31760</v>
      </c>
      <c r="F23" s="17"/>
      <c r="G23" s="199"/>
      <c r="H23" s="199"/>
      <c r="I23" s="199"/>
    </row>
    <row r="24" spans="2:9">
      <c r="B24" s="25" t="s">
        <v>719</v>
      </c>
      <c r="C24" s="25" t="s">
        <v>720</v>
      </c>
      <c r="D24" s="37" t="s">
        <v>162</v>
      </c>
      <c r="E24" s="37" t="s">
        <v>162</v>
      </c>
      <c r="F24" s="37" t="s">
        <v>162</v>
      </c>
      <c r="G24" s="38">
        <v>576000000</v>
      </c>
      <c r="H24" s="39">
        <v>67600000</v>
      </c>
      <c r="I24" s="51">
        <v>25000</v>
      </c>
    </row>
    <row r="25" spans="2:9">
      <c r="B25" s="151" t="s">
        <v>1390</v>
      </c>
      <c r="C25" s="151" t="s">
        <v>162</v>
      </c>
      <c r="D25" s="154">
        <v>45268</v>
      </c>
      <c r="E25" s="158">
        <v>600000</v>
      </c>
      <c r="F25" s="60">
        <v>576000000</v>
      </c>
      <c r="G25" s="151"/>
      <c r="H25" s="151"/>
      <c r="I25" s="151"/>
    </row>
    <row r="26" spans="2:9">
      <c r="B26" s="199"/>
      <c r="C26" s="199"/>
      <c r="D26" s="40"/>
      <c r="E26" s="41"/>
      <c r="F26" s="52"/>
      <c r="G26" s="199"/>
      <c r="H26" s="199"/>
      <c r="I26" s="199"/>
    </row>
    <row r="27" spans="2:9">
      <c r="B27" s="35"/>
      <c r="C27" s="36" t="s">
        <v>1718</v>
      </c>
      <c r="D27" s="53" t="s">
        <v>162</v>
      </c>
      <c r="E27" s="53" t="s">
        <v>162</v>
      </c>
      <c r="F27" s="53" t="s">
        <v>162</v>
      </c>
      <c r="G27" s="30">
        <f>SUM(G8:G25)</f>
        <v>13440000000</v>
      </c>
      <c r="H27" s="54">
        <f>SUM(H8:H25)</f>
        <v>3184000000</v>
      </c>
      <c r="I27" s="54">
        <f>SUM(I8:I25)</f>
        <v>561595</v>
      </c>
    </row>
  </sheetData>
  <mergeCells count="1">
    <mergeCell ref="B4:I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A53E3-9A6D-441B-8991-C518A11559CF}">
  <sheetPr>
    <tabColor theme="3" tint="0.749992370372631"/>
  </sheetPr>
  <dimension ref="A2:AJ63"/>
  <sheetViews>
    <sheetView zoomScaleNormal="100" workbookViewId="0"/>
  </sheetViews>
  <sheetFormatPr defaultColWidth="8.69921875" defaultRowHeight="15.6"/>
  <cols>
    <col min="1" max="1" width="8.8984375" style="1" bestFit="1" customWidth="1"/>
    <col min="2" max="2" width="13.5" style="1" customWidth="1"/>
    <col min="3" max="3" width="24.19921875" style="1" customWidth="1"/>
    <col min="4" max="4" width="24.19921875" style="1" bestFit="1" customWidth="1"/>
    <col min="5" max="32" width="24.19921875" style="1" customWidth="1"/>
    <col min="33" max="33" width="8.69921875" style="1" customWidth="1"/>
    <col min="34" max="36" width="24.19921875" style="1" customWidth="1"/>
    <col min="37" max="16384" width="8.69921875" style="1"/>
  </cols>
  <sheetData>
    <row r="2" spans="1:36" ht="20.399999999999999" customHeight="1">
      <c r="B2" s="67" t="s">
        <v>1402</v>
      </c>
      <c r="AJ2" s="8"/>
    </row>
    <row r="3" spans="1:36">
      <c r="Z3" s="8"/>
      <c r="AJ3" s="8"/>
    </row>
    <row r="4" spans="1:36" ht="64.95" customHeight="1">
      <c r="B4" s="206" t="s">
        <v>1403</v>
      </c>
      <c r="C4" s="206"/>
      <c r="D4" s="206"/>
      <c r="E4" s="206"/>
      <c r="F4" s="206"/>
      <c r="G4" s="206"/>
      <c r="Z4" s="8"/>
      <c r="AJ4" s="8"/>
    </row>
    <row r="6" spans="1:36" ht="21" customHeight="1">
      <c r="B6" s="161" t="s">
        <v>1404</v>
      </c>
      <c r="C6" s="162" t="s">
        <v>1405</v>
      </c>
      <c r="D6" s="162" t="s">
        <v>1406</v>
      </c>
      <c r="E6" s="162" t="s">
        <v>212</v>
      </c>
      <c r="F6" s="162" t="s">
        <v>1407</v>
      </c>
      <c r="G6" s="162" t="s">
        <v>965</v>
      </c>
      <c r="H6" s="162" t="s">
        <v>1408</v>
      </c>
      <c r="I6" s="162" t="s">
        <v>1409</v>
      </c>
      <c r="J6" s="162" t="s">
        <v>1410</v>
      </c>
      <c r="K6" s="162" t="s">
        <v>1411</v>
      </c>
      <c r="L6" s="162" t="s">
        <v>1412</v>
      </c>
      <c r="M6" s="162" t="s">
        <v>1413</v>
      </c>
      <c r="N6" s="162" t="s">
        <v>1414</v>
      </c>
      <c r="O6" s="162" t="s">
        <v>599</v>
      </c>
      <c r="P6" s="162" t="s">
        <v>1415</v>
      </c>
      <c r="Q6" s="162" t="s">
        <v>1270</v>
      </c>
      <c r="R6" s="162" t="s">
        <v>1416</v>
      </c>
      <c r="S6" s="162" t="s">
        <v>1417</v>
      </c>
      <c r="T6" s="162" t="s">
        <v>1418</v>
      </c>
      <c r="U6" s="162" t="s">
        <v>1419</v>
      </c>
      <c r="V6" s="162" t="s">
        <v>1420</v>
      </c>
      <c r="W6" s="162" t="s">
        <v>1421</v>
      </c>
      <c r="X6" s="162" t="s">
        <v>1422</v>
      </c>
      <c r="Y6" s="162" t="s">
        <v>1423</v>
      </c>
      <c r="Z6" s="162" t="s">
        <v>1424</v>
      </c>
      <c r="AA6" s="162" t="s">
        <v>645</v>
      </c>
      <c r="AB6" s="162" t="s">
        <v>1425</v>
      </c>
      <c r="AC6" s="162" t="s">
        <v>1426</v>
      </c>
      <c r="AD6" s="162" t="s">
        <v>1427</v>
      </c>
      <c r="AE6" s="162" t="s">
        <v>296</v>
      </c>
      <c r="AF6" s="162" t="s">
        <v>1428</v>
      </c>
      <c r="AG6" s="162"/>
      <c r="AH6" s="162" t="s">
        <v>322</v>
      </c>
      <c r="AI6" s="162" t="s">
        <v>1429</v>
      </c>
      <c r="AJ6" s="162" t="s">
        <v>1430</v>
      </c>
    </row>
    <row r="7" spans="1:36">
      <c r="A7" s="72">
        <v>1</v>
      </c>
      <c r="B7" s="68">
        <v>43831</v>
      </c>
      <c r="C7" s="61">
        <f>(SUMIFS('MAIN DATA, Orders'!$M:$M,'MAIN DATA, Orders'!$Q:$Q,$A7,'MAIN DATA, Orders'!$C:$C,"Germany",'MAIN DATA, Orders'!$G:$G,"Air defence system")/1000000000)</f>
        <v>0</v>
      </c>
      <c r="D7" s="61">
        <f>(SUMIFS('MAIN DATA, Orders'!$M:$M,'MAIN DATA, Orders'!$Q:$Q,$A7,'MAIN DATA, Orders'!$C:$C,"Germany",'MAIN DATA, Orders'!$G:$G,"Development - Air defence system")/1000000000)</f>
        <v>0</v>
      </c>
      <c r="E7" s="61">
        <f>(SUMIFS('MAIN DATA, Orders'!$M:$M,'MAIN DATA, Orders'!$Q:$Q,$A7,'MAIN DATA, Orders'!$C:$C,"Germany",'MAIN DATA, Orders'!$G:$G,"Aircraft")/1000000000)</f>
        <v>0</v>
      </c>
      <c r="F7" s="61">
        <f>(SUMIFS('MAIN DATA, Orders'!$M:$M,'MAIN DATA, Orders'!$Q:$Q,$A7,'MAIN DATA, Orders'!$C:$C,"Germany",'MAIN DATA, Orders'!$G:$G,"Development - Aircraft")/1000000000)</f>
        <v>0</v>
      </c>
      <c r="G7" s="61">
        <f>(SUMIFS('MAIN DATA, Orders'!$M:$M,'MAIN DATA, Orders'!$Q:$Q,$A7,'MAIN DATA, Orders'!$C:$C,"Germany",'MAIN DATA, Orders'!$G:$G,"Ammunition")/1000000000)</f>
        <v>0</v>
      </c>
      <c r="H7" s="61">
        <f>(SUMIFS('MAIN DATA, Orders'!$M:$M,'MAIN DATA, Orders'!$Q:$Q,$A7,'MAIN DATA, Orders'!$C:$C,"Germany",'MAIN DATA, Orders'!$G:$G,"Development - Ammunition")/1000000000)</f>
        <v>0</v>
      </c>
      <c r="I7" s="61">
        <f>(SUMIFS('MAIN DATA, Orders'!$M:$M,'MAIN DATA, Orders'!$Q:$Q,$A7,'MAIN DATA, Orders'!$C:$C,"Germany",'MAIN DATA, Orders'!$G:$G,"Armoured vehicle")/1000000000)</f>
        <v>0</v>
      </c>
      <c r="J7" s="61">
        <f>(SUMIFS('MAIN DATA, Orders'!$M:$M,'MAIN DATA, Orders'!$Q:$Q,$A7,'MAIN DATA, Orders'!$C:$C,"Germany",'MAIN DATA, Orders'!$G:$G,"Development - Armoured vehicle")/1000000000)</f>
        <v>0</v>
      </c>
      <c r="K7" s="61">
        <f>(SUMIFS('MAIN DATA, Orders'!$M:$M,'MAIN DATA, Orders'!$Q:$Q,$A7,'MAIN DATA, Orders'!$C:$C,"Germany",'MAIN DATA, Orders'!$G:$G,"Artillery")/1000000000)</f>
        <v>0</v>
      </c>
      <c r="L7" s="61">
        <f>(SUMIFS('MAIN DATA, Orders'!$M:$M,'MAIN DATA, Orders'!$Q:$Q,$A7,'MAIN DATA, Orders'!$C:$C,"Germany",'MAIN DATA, Orders'!$G:$G,"Development - Artillery")/1000000000)</f>
        <v>0</v>
      </c>
      <c r="M7" s="61">
        <f>(SUMIFS('MAIN DATA, Orders'!$M:$M,'MAIN DATA, Orders'!$Q:$Q,$A7,'MAIN DATA, Orders'!$C:$C,"Germany",'MAIN DATA, Orders'!$G:$G,"Drone")/1000000000)</f>
        <v>0</v>
      </c>
      <c r="N7" s="61">
        <f>(SUMIFS('MAIN DATA, Orders'!$M:$M,'MAIN DATA, Orders'!$Q:$Q,$A7,'MAIN DATA, Orders'!$C:$C,"Germany",'MAIN DATA, Orders'!$G:$G,"Development - Drone")/1000000000)</f>
        <v>0</v>
      </c>
      <c r="O7" s="61">
        <f>(SUMIFS('MAIN DATA, Orders'!$M:$M,'MAIN DATA, Orders'!$Q:$Q,$A7,'MAIN DATA, Orders'!$C:$C,"Germany",'MAIN DATA, Orders'!$G:$G,"Helicopter")/1000000000)</f>
        <v>0</v>
      </c>
      <c r="P7" s="61">
        <f>(SUMIFS('MAIN DATA, Orders'!$M:$M,'MAIN DATA, Orders'!$Q:$Q,$A7,'MAIN DATA, Orders'!$C:$C,"Germany",'MAIN DATA, Orders'!$G:$G,"Development - Helicopter")/1000000000)</f>
        <v>0</v>
      </c>
      <c r="Q7" s="61">
        <f>(SUMIFS('MAIN DATA, Orders'!$M:$M,'MAIN DATA, Orders'!$Q:$Q,$A7,'MAIN DATA, Orders'!$C:$C,"Germany",'MAIN DATA, Orders'!$G:$G,"Infantry")/1000000000)</f>
        <v>0</v>
      </c>
      <c r="R7" s="61">
        <f>(SUMIFS('MAIN DATA, Orders'!$M:$M,'MAIN DATA, Orders'!$Q:$Q,$A7,'MAIN DATA, Orders'!$C:$C,"Germany",'MAIN DATA, Orders'!$G:$G,"Development - Infantry")/1000000000)</f>
        <v>0</v>
      </c>
      <c r="S7" s="61">
        <f>(SUMIFS('MAIN DATA, Orders'!$M:$M,'MAIN DATA, Orders'!$Q:$Q,$A7,'MAIN DATA, Orders'!$C:$C,"Germany",'MAIN DATA, Orders'!$G:$G,"Tank")/1000000000)</f>
        <v>0</v>
      </c>
      <c r="T7" s="61">
        <f>(SUMIFS('MAIN DATA, Orders'!$M:$M,'MAIN DATA, Orders'!$Q:$Q,$A7,'MAIN DATA, Orders'!$C:$C,"Germany",'MAIN DATA, Orders'!$G:$G,"Development - Tank")/1000000000)</f>
        <v>0</v>
      </c>
      <c r="U7" s="61">
        <f>(SUMIFS('MAIN DATA, Orders'!$M:$M,'MAIN DATA, Orders'!$Q:$Q,$A7,'MAIN DATA, Orders'!$C:$C,"Germany",'MAIN DATA, Orders'!$G:$G,"Maintenance")/1000000000)</f>
        <v>0</v>
      </c>
      <c r="V7" s="61">
        <f>(SUMIFS('MAIN DATA, Orders'!$M:$M,'MAIN DATA, Orders'!$Q:$Q,$A7,'MAIN DATA, Orders'!$C:$C,"Germany",'MAIN DATA, Orders'!$G:$G,"Development - Maintenance")/1000000000)</f>
        <v>0</v>
      </c>
      <c r="W7" s="61">
        <f>(SUMIFS('MAIN DATA, Orders'!$M:$M,'MAIN DATA, Orders'!$Q:$Q,$A7,'MAIN DATA, Orders'!$C:$C,"Germany",'MAIN DATA, Orders'!$G:$G,"Mine")/1000000000)</f>
        <v>0</v>
      </c>
      <c r="X7" s="61">
        <f>(SUMIFS('MAIN DATA, Orders'!$M:$M,'MAIN DATA, Orders'!$Q:$Q,$A7,'MAIN DATA, Orders'!$C:$C,"Germany",'MAIN DATA, Orders'!$G:$G,"Development - Mine")/1000000000)</f>
        <v>0</v>
      </c>
      <c r="Y7" s="61">
        <f>(SUMIFS('MAIN DATA, Orders'!$M:$M,'MAIN DATA, Orders'!$Q:$Q,$A7,'MAIN DATA, Orders'!$C:$C,"Germany",'MAIN DATA, Orders'!$H:$H,"6")/1000000000)</f>
        <v>0</v>
      </c>
      <c r="Z7" s="61" cm="1">
        <f t="array" ref="Z7">SUM(SUMIFS('MAIN DATA, Orders'!$M:$M,'MAIN DATA, Orders'!$Q:$Q,$A7,'MAIN DATA, Orders'!$C:$C,"Germany",'MAIN DATA, Orders'!$G:$G,{"Development - Missile (Land)","Development - Missile (Naval)","Development - Missile (Air)"})/1000000000)</f>
        <v>0</v>
      </c>
      <c r="AA7" s="61">
        <f>(SUMIFS('MAIN DATA, Orders'!$M:$M,'MAIN DATA, Orders'!$Q:$Q,$A7,'MAIN DATA, Orders'!$C:$C,"Germany",'MAIN DATA, Orders'!$G:$G,"Modernisation")/1000000000)</f>
        <v>0</v>
      </c>
      <c r="AB7" s="61">
        <f>(SUMIFS('MAIN DATA, Orders'!$M:$M,'MAIN DATA, Orders'!$Q:$Q,$A7,'MAIN DATA, Orders'!$C:$C,"Germany",'MAIN DATA, Orders'!$G:$G,"Development - Modernisation")/1000000000)</f>
        <v>0</v>
      </c>
      <c r="AC7" s="61">
        <f>(SUMIFS('MAIN DATA, Orders'!$M:$M,'MAIN DATA, Orders'!$Q:$Q,$A7,'MAIN DATA, Orders'!$C:$C,"Germany",'MAIN DATA, Orders'!$G:$G,"Naval")/1000000000)</f>
        <v>0</v>
      </c>
      <c r="AD7" s="61">
        <f>(SUMIFS('MAIN DATA, Orders'!$M:$M,'MAIN DATA, Orders'!$Q:$Q,$A7,'MAIN DATA, Orders'!$C:$C,"Germany",'MAIN DATA, Orders'!$G:$G,"Development - Naval")/1000000000)</f>
        <v>0</v>
      </c>
      <c r="AE7" s="61">
        <f>(SUMIFS('MAIN DATA, Orders'!$M:$M,'MAIN DATA, Orders'!$Q:$Q,$A7,'MAIN DATA, Orders'!$C:$C,"Germany",'MAIN DATA, Orders'!$G:$G,"Other")/1000000000)</f>
        <v>0</v>
      </c>
      <c r="AF7" s="61">
        <f>(SUMIFS('MAIN DATA, Orders'!$M:$M,'MAIN DATA, Orders'!$Q:$Q,$A7,'MAIN DATA, Orders'!$C:$C,"Germany",'MAIN DATA, Orders'!$G:$G,"Development - Other")/1000000000)</f>
        <v>0</v>
      </c>
      <c r="AG7" s="61"/>
      <c r="AH7" s="61" cm="1">
        <f t="array" ref="AH7">SUM(SUMIFS('MAIN DATA, Orders'!$M:$M,'MAIN DATA, Orders'!$Q:$Q,$A7,'MAIN DATA, Orders'!$C:$C,"Germany",'MAIN DATA, Orders'!$G:$G,{"Missile (Land)","Development - Missile (Land)"})/1000000000)</f>
        <v>0</v>
      </c>
      <c r="AI7" s="61" cm="1">
        <f t="array" ref="AI7">SUM(SUMIFS('MAIN DATA, Orders'!$M:$M,'MAIN DATA, Orders'!$C:$C,"Germany",'MAIN DATA, Orders'!$G:$G,{"Missile (Air)","Development - Missile (Air)"},'MAIN DATA, Orders'!$Q:$Q,$A7)/1000000000)</f>
        <v>0</v>
      </c>
      <c r="AJ7" s="61" cm="1">
        <f t="array" ref="AJ7">SUM(SUMIFS('MAIN DATA, Orders'!$M:$M,'MAIN DATA, Orders'!$Q:$Q,$A7,'MAIN DATA, Orders'!$C:$C,"Germany",'MAIN DATA, Orders'!$G:$G,{"Missile (Naval)","Development - Missile (Naval)"})/1000000000)</f>
        <v>0</v>
      </c>
    </row>
    <row r="8" spans="1:36">
      <c r="A8" s="72">
        <v>2</v>
      </c>
      <c r="B8" s="68">
        <v>43862</v>
      </c>
      <c r="C8" s="61">
        <f>(SUMIFS('MAIN DATA, Orders'!$M:$M,'MAIN DATA, Orders'!$Q:$Q,$A8,'MAIN DATA, Orders'!$C:$C,"Germany",'MAIN DATA, Orders'!$G:$G,"Air defence system")/1000000000)</f>
        <v>0</v>
      </c>
      <c r="D8" s="61">
        <f>(SUMIFS('MAIN DATA, Orders'!$M:$M,'MAIN DATA, Orders'!$Q:$Q,$A8,'MAIN DATA, Orders'!$C:$C,"Germany",'MAIN DATA, Orders'!$G:$G,"Development - Air defence system")/1000000000)</f>
        <v>0</v>
      </c>
      <c r="E8" s="61">
        <f>(SUMIFS('MAIN DATA, Orders'!$M:$M,'MAIN DATA, Orders'!$Q:$Q,$A8,'MAIN DATA, Orders'!$C:$C,"Germany",'MAIN DATA, Orders'!$G:$G,"Aircraft")/1000000000)</f>
        <v>0</v>
      </c>
      <c r="F8" s="61">
        <f>(SUMIFS('MAIN DATA, Orders'!$M:$M,'MAIN DATA, Orders'!$Q:$Q,$A8,'MAIN DATA, Orders'!$C:$C,"Germany",'MAIN DATA, Orders'!$G:$G,"Development - Aircraft")/1000000000)</f>
        <v>0</v>
      </c>
      <c r="G8" s="61">
        <f>(SUMIFS('MAIN DATA, Orders'!$M:$M,'MAIN DATA, Orders'!$Q:$Q,$A8,'MAIN DATA, Orders'!$C:$C,"Germany",'MAIN DATA, Orders'!$G:$G,"Ammunition")/1000000000)</f>
        <v>0</v>
      </c>
      <c r="H8" s="61">
        <f>(SUMIFS('MAIN DATA, Orders'!$M:$M,'MAIN DATA, Orders'!$Q:$Q,$A8,'MAIN DATA, Orders'!$C:$C,"Germany",'MAIN DATA, Orders'!$G:$G,"Development - Ammunition")/1000000000)</f>
        <v>0</v>
      </c>
      <c r="I8" s="61">
        <f>(SUMIFS('MAIN DATA, Orders'!$M:$M,'MAIN DATA, Orders'!$Q:$Q,$A8,'MAIN DATA, Orders'!$C:$C,"Germany",'MAIN DATA, Orders'!$G:$G,"Armoured vehicle")/1000000000)</f>
        <v>0</v>
      </c>
      <c r="J8" s="61">
        <f>(SUMIFS('MAIN DATA, Orders'!$M:$M,'MAIN DATA, Orders'!$Q:$Q,$A8,'MAIN DATA, Orders'!$C:$C,"Germany",'MAIN DATA, Orders'!$G:$G,"Development - Armoured vehicle")/1000000000)</f>
        <v>0</v>
      </c>
      <c r="K8" s="61">
        <f>(SUMIFS('MAIN DATA, Orders'!$M:$M,'MAIN DATA, Orders'!$Q:$Q,$A8,'MAIN DATA, Orders'!$C:$C,"Germany",'MAIN DATA, Orders'!$G:$G,"Artillery")/1000000000)</f>
        <v>0</v>
      </c>
      <c r="L8" s="61">
        <f>(SUMIFS('MAIN DATA, Orders'!$M:$M,'MAIN DATA, Orders'!$Q:$Q,$A8,'MAIN DATA, Orders'!$C:$C,"Germany",'MAIN DATA, Orders'!$G:$G,"Development - Artillery")/1000000000)</f>
        <v>0</v>
      </c>
      <c r="M8" s="61">
        <f>(SUMIFS('MAIN DATA, Orders'!$M:$M,'MAIN DATA, Orders'!$Q:$Q,$A8,'MAIN DATA, Orders'!$C:$C,"Germany",'MAIN DATA, Orders'!$G:$G,"Drone")/1000000000)</f>
        <v>0</v>
      </c>
      <c r="N8" s="61">
        <f>(SUMIFS('MAIN DATA, Orders'!$M:$M,'MAIN DATA, Orders'!$Q:$Q,$A8,'MAIN DATA, Orders'!$C:$C,"Germany",'MAIN DATA, Orders'!$G:$G,"Development - Drone")/1000000000)</f>
        <v>0</v>
      </c>
      <c r="O8" s="61">
        <f>(SUMIFS('MAIN DATA, Orders'!$M:$M,'MAIN DATA, Orders'!$Q:$Q,$A8,'MAIN DATA, Orders'!$C:$C,"Germany",'MAIN DATA, Orders'!$G:$G,"Helicopter")/1000000000)</f>
        <v>0</v>
      </c>
      <c r="P8" s="61">
        <f>(SUMIFS('MAIN DATA, Orders'!$M:$M,'MAIN DATA, Orders'!$Q:$Q,$A8,'MAIN DATA, Orders'!$C:$C,"Germany",'MAIN DATA, Orders'!$G:$G,"Development - Helicopter")/1000000000)</f>
        <v>0</v>
      </c>
      <c r="Q8" s="61">
        <f>(SUMIFS('MAIN DATA, Orders'!$M:$M,'MAIN DATA, Orders'!$Q:$Q,$A8,'MAIN DATA, Orders'!$C:$C,"Germany",'MAIN DATA, Orders'!$G:$G,"Infantry")/1000000000)</f>
        <v>0</v>
      </c>
      <c r="R8" s="61">
        <f>(SUMIFS('MAIN DATA, Orders'!$M:$M,'MAIN DATA, Orders'!$Q:$Q,$A8,'MAIN DATA, Orders'!$C:$C,"Germany",'MAIN DATA, Orders'!$G:$G,"Development - Infantry")/1000000000)</f>
        <v>0</v>
      </c>
      <c r="S8" s="61">
        <f>(SUMIFS('MAIN DATA, Orders'!$M:$M,'MAIN DATA, Orders'!$Q:$Q,$A8,'MAIN DATA, Orders'!$C:$C,"Germany",'MAIN DATA, Orders'!$G:$G,"Tank")/1000000000)</f>
        <v>0</v>
      </c>
      <c r="T8" s="61">
        <f>(SUMIFS('MAIN DATA, Orders'!$M:$M,'MAIN DATA, Orders'!$Q:$Q,$A8,'MAIN DATA, Orders'!$C:$C,"Germany",'MAIN DATA, Orders'!$G:$G,"Development - Tank")/1000000000)</f>
        <v>0</v>
      </c>
      <c r="U8" s="61">
        <f>(SUMIFS('MAIN DATA, Orders'!$M:$M,'MAIN DATA, Orders'!$Q:$Q,$A8,'MAIN DATA, Orders'!$C:$C,"Germany",'MAIN DATA, Orders'!$G:$G,"Maintenance")/1000000000)</f>
        <v>0</v>
      </c>
      <c r="V8" s="61">
        <f>(SUMIFS('MAIN DATA, Orders'!$M:$M,'MAIN DATA, Orders'!$Q:$Q,$A8,'MAIN DATA, Orders'!$C:$C,"Germany",'MAIN DATA, Orders'!$G:$G,"Development - Maintenance")/1000000000)</f>
        <v>0</v>
      </c>
      <c r="W8" s="61">
        <f>(SUMIFS('MAIN DATA, Orders'!$M:$M,'MAIN DATA, Orders'!$Q:$Q,$A8,'MAIN DATA, Orders'!$C:$C,"Germany",'MAIN DATA, Orders'!$G:$G,"Mine")/1000000000)</f>
        <v>0</v>
      </c>
      <c r="X8" s="61">
        <f>(SUMIFS('MAIN DATA, Orders'!$M:$M,'MAIN DATA, Orders'!$Q:$Q,$A8,'MAIN DATA, Orders'!$C:$C,"Germany",'MAIN DATA, Orders'!$G:$G,"Development - Mine")/1000000000)</f>
        <v>0</v>
      </c>
      <c r="Y8" s="61">
        <f>(SUMIFS('MAIN DATA, Orders'!$M:$M,'MAIN DATA, Orders'!$Q:$Q,$A8,'MAIN DATA, Orders'!$C:$C,"Germany",'MAIN DATA, Orders'!$H:$H,"6")/1000000000)</f>
        <v>0</v>
      </c>
      <c r="Z8" s="61" cm="1">
        <f t="array" ref="Z8">SUM(SUMIFS('MAIN DATA, Orders'!$M:$M,'MAIN DATA, Orders'!$Q:$Q,$A8,'MAIN DATA, Orders'!$C:$C,"Germany",'MAIN DATA, Orders'!$G:$G,{"Development - Missile (Land)","Development - Missile (Naval)","Development - Missile (Air)"})/1000000000)</f>
        <v>0</v>
      </c>
      <c r="AA8" s="61">
        <f>(SUMIFS('MAIN DATA, Orders'!$M:$M,'MAIN DATA, Orders'!$Q:$Q,$A8,'MAIN DATA, Orders'!$C:$C,"Germany",'MAIN DATA, Orders'!$G:$G,"Modernisation")/1000000000)</f>
        <v>0</v>
      </c>
      <c r="AB8" s="61">
        <f>(SUMIFS('MAIN DATA, Orders'!$M:$M,'MAIN DATA, Orders'!$Q:$Q,$A8,'MAIN DATA, Orders'!$C:$C,"Germany",'MAIN DATA, Orders'!$G:$G,"Development - Modernisation")/1000000000)</f>
        <v>0</v>
      </c>
      <c r="AC8" s="61">
        <f>(SUMIFS('MAIN DATA, Orders'!$M:$M,'MAIN DATA, Orders'!$Q:$Q,$A8,'MAIN DATA, Orders'!$C:$C,"Germany",'MAIN DATA, Orders'!$G:$G,"Naval")/1000000000)</f>
        <v>0</v>
      </c>
      <c r="AD8" s="61">
        <f>(SUMIFS('MAIN DATA, Orders'!$M:$M,'MAIN DATA, Orders'!$Q:$Q,$A8,'MAIN DATA, Orders'!$C:$C,"Germany",'MAIN DATA, Orders'!$G:$G,"Development - Naval")/1000000000)</f>
        <v>0</v>
      </c>
      <c r="AE8" s="61">
        <f>(SUMIFS('MAIN DATA, Orders'!$M:$M,'MAIN DATA, Orders'!$Q:$Q,$A8,'MAIN DATA, Orders'!$C:$C,"Germany",'MAIN DATA, Orders'!$G:$G,"Other")/1000000000)</f>
        <v>0</v>
      </c>
      <c r="AF8" s="61">
        <f>(SUMIFS('MAIN DATA, Orders'!$M:$M,'MAIN DATA, Orders'!$Q:$Q,$A8,'MAIN DATA, Orders'!$C:$C,"Germany",'MAIN DATA, Orders'!$G:$G,"Development - Other")/1000000000)</f>
        <v>0</v>
      </c>
      <c r="AG8" s="61"/>
      <c r="AH8" s="61" cm="1">
        <f t="array" ref="AH8">SUM(SUMIFS('MAIN DATA, Orders'!$M:$M,'MAIN DATA, Orders'!$Q:$Q,$A8,'MAIN DATA, Orders'!$C:$C,"Germany",'MAIN DATA, Orders'!$G:$G,{"Missile (Land)","Development - Missile (Land)"})/1000000000)</f>
        <v>0</v>
      </c>
      <c r="AI8" s="61" cm="1">
        <f t="array" ref="AI8">SUM(SUMIFS('MAIN DATA, Orders'!$M:$M,'MAIN DATA, Orders'!$C:$C,"Germany",'MAIN DATA, Orders'!$G:$G,{"Missile (Air)","Development - Missile (Air)"},'MAIN DATA, Orders'!$Q:$Q,$A8)/1000000000)</f>
        <v>0</v>
      </c>
      <c r="AJ8" s="61" cm="1">
        <f t="array" ref="AJ8">SUM(SUMIFS('MAIN DATA, Orders'!$M:$M,'MAIN DATA, Orders'!$Q:$Q,$A8,'MAIN DATA, Orders'!$C:$C,"Germany",'MAIN DATA, Orders'!$G:$G,{"Missile (Naval)","Development - Missile (Naval)"})/1000000000)</f>
        <v>0</v>
      </c>
    </row>
    <row r="9" spans="1:36">
      <c r="A9" s="72">
        <v>3</v>
      </c>
      <c r="B9" s="68">
        <v>43891</v>
      </c>
      <c r="C9" s="61">
        <f>(SUMIFS('MAIN DATA, Orders'!$M:$M,'MAIN DATA, Orders'!$Q:$Q,$A9,'MAIN DATA, Orders'!$C:$C,"Germany",'MAIN DATA, Orders'!$G:$G,"Air defence system")/1000000000)</f>
        <v>0</v>
      </c>
      <c r="D9" s="61">
        <f>(SUMIFS('MAIN DATA, Orders'!$M:$M,'MAIN DATA, Orders'!$Q:$Q,$A9,'MAIN DATA, Orders'!$C:$C,"Germany",'MAIN DATA, Orders'!$G:$G,"Development - Air defence system")/1000000000)</f>
        <v>0</v>
      </c>
      <c r="E9" s="61">
        <f>(SUMIFS('MAIN DATA, Orders'!$M:$M,'MAIN DATA, Orders'!$Q:$Q,$A9,'MAIN DATA, Orders'!$C:$C,"Germany",'MAIN DATA, Orders'!$G:$G,"Aircraft")/1000000000)</f>
        <v>0</v>
      </c>
      <c r="F9" s="61">
        <f>(SUMIFS('MAIN DATA, Orders'!$M:$M,'MAIN DATA, Orders'!$Q:$Q,$A9,'MAIN DATA, Orders'!$C:$C,"Germany",'MAIN DATA, Orders'!$G:$G,"Development - Aircraft")/1000000000)</f>
        <v>0</v>
      </c>
      <c r="G9" s="61">
        <f>(SUMIFS('MAIN DATA, Orders'!$M:$M,'MAIN DATA, Orders'!$Q:$Q,$A9,'MAIN DATA, Orders'!$C:$C,"Germany",'MAIN DATA, Orders'!$G:$G,"Ammunition")/1000000000)</f>
        <v>0</v>
      </c>
      <c r="H9" s="61">
        <f>(SUMIFS('MAIN DATA, Orders'!$M:$M,'MAIN DATA, Orders'!$Q:$Q,$A9,'MAIN DATA, Orders'!$C:$C,"Germany",'MAIN DATA, Orders'!$G:$G,"Development - Ammunition")/1000000000)</f>
        <v>0</v>
      </c>
      <c r="I9" s="61">
        <f>(SUMIFS('MAIN DATA, Orders'!$M:$M,'MAIN DATA, Orders'!$Q:$Q,$A9,'MAIN DATA, Orders'!$C:$C,"Germany",'MAIN DATA, Orders'!$G:$G,"Armoured vehicle")/1000000000)</f>
        <v>0</v>
      </c>
      <c r="J9" s="61">
        <f>(SUMIFS('MAIN DATA, Orders'!$M:$M,'MAIN DATA, Orders'!$Q:$Q,$A9,'MAIN DATA, Orders'!$C:$C,"Germany",'MAIN DATA, Orders'!$G:$G,"Development - Armoured vehicle")/1000000000)</f>
        <v>0</v>
      </c>
      <c r="K9" s="61">
        <f>(SUMIFS('MAIN DATA, Orders'!$M:$M,'MAIN DATA, Orders'!$Q:$Q,$A9,'MAIN DATA, Orders'!$C:$C,"Germany",'MAIN DATA, Orders'!$G:$G,"Artillery")/1000000000)</f>
        <v>0</v>
      </c>
      <c r="L9" s="61">
        <f>(SUMIFS('MAIN DATA, Orders'!$M:$M,'MAIN DATA, Orders'!$Q:$Q,$A9,'MAIN DATA, Orders'!$C:$C,"Germany",'MAIN DATA, Orders'!$G:$G,"Development - Artillery")/1000000000)</f>
        <v>0</v>
      </c>
      <c r="M9" s="61">
        <f>(SUMIFS('MAIN DATA, Orders'!$M:$M,'MAIN DATA, Orders'!$Q:$Q,$A9,'MAIN DATA, Orders'!$C:$C,"Germany",'MAIN DATA, Orders'!$G:$G,"Drone")/1000000000)</f>
        <v>0</v>
      </c>
      <c r="N9" s="61">
        <f>(SUMIFS('MAIN DATA, Orders'!$M:$M,'MAIN DATA, Orders'!$Q:$Q,$A9,'MAIN DATA, Orders'!$C:$C,"Germany",'MAIN DATA, Orders'!$G:$G,"Development - Drone")/1000000000)</f>
        <v>0</v>
      </c>
      <c r="O9" s="61">
        <f>(SUMIFS('MAIN DATA, Orders'!$M:$M,'MAIN DATA, Orders'!$Q:$Q,$A9,'MAIN DATA, Orders'!$C:$C,"Germany",'MAIN DATA, Orders'!$G:$G,"Helicopter")/1000000000)</f>
        <v>0</v>
      </c>
      <c r="P9" s="61">
        <f>(SUMIFS('MAIN DATA, Orders'!$M:$M,'MAIN DATA, Orders'!$Q:$Q,$A9,'MAIN DATA, Orders'!$C:$C,"Germany",'MAIN DATA, Orders'!$G:$G,"Development - Helicopter")/1000000000)</f>
        <v>0</v>
      </c>
      <c r="Q9" s="61">
        <f>(SUMIFS('MAIN DATA, Orders'!$M:$M,'MAIN DATA, Orders'!$Q:$Q,$A9,'MAIN DATA, Orders'!$C:$C,"Germany",'MAIN DATA, Orders'!$G:$G,"Infantry")/1000000000)</f>
        <v>0</v>
      </c>
      <c r="R9" s="61">
        <f>(SUMIFS('MAIN DATA, Orders'!$M:$M,'MAIN DATA, Orders'!$Q:$Q,$A9,'MAIN DATA, Orders'!$C:$C,"Germany",'MAIN DATA, Orders'!$G:$G,"Development - Infantry")/1000000000)</f>
        <v>0</v>
      </c>
      <c r="S9" s="61">
        <f>(SUMIFS('MAIN DATA, Orders'!$M:$M,'MAIN DATA, Orders'!$Q:$Q,$A9,'MAIN DATA, Orders'!$C:$C,"Germany",'MAIN DATA, Orders'!$G:$G,"Tank")/1000000000)</f>
        <v>0</v>
      </c>
      <c r="T9" s="61">
        <f>(SUMIFS('MAIN DATA, Orders'!$M:$M,'MAIN DATA, Orders'!$Q:$Q,$A9,'MAIN DATA, Orders'!$C:$C,"Germany",'MAIN DATA, Orders'!$G:$G,"Development - Tank")/1000000000)</f>
        <v>0</v>
      </c>
      <c r="U9" s="61">
        <f>(SUMIFS('MAIN DATA, Orders'!$M:$M,'MAIN DATA, Orders'!$Q:$Q,$A9,'MAIN DATA, Orders'!$C:$C,"Germany",'MAIN DATA, Orders'!$G:$G,"Maintenance")/1000000000)</f>
        <v>0</v>
      </c>
      <c r="V9" s="61">
        <f>(SUMIFS('MAIN DATA, Orders'!$M:$M,'MAIN DATA, Orders'!$Q:$Q,$A9,'MAIN DATA, Orders'!$C:$C,"Germany",'MAIN DATA, Orders'!$G:$G,"Development - Maintenance")/1000000000)</f>
        <v>0</v>
      </c>
      <c r="W9" s="61">
        <f>(SUMIFS('MAIN DATA, Orders'!$M:$M,'MAIN DATA, Orders'!$Q:$Q,$A9,'MAIN DATA, Orders'!$C:$C,"Germany",'MAIN DATA, Orders'!$G:$G,"Mine")/1000000000)</f>
        <v>0</v>
      </c>
      <c r="X9" s="61">
        <f>(SUMIFS('MAIN DATA, Orders'!$M:$M,'MAIN DATA, Orders'!$Q:$Q,$A9,'MAIN DATA, Orders'!$C:$C,"Germany",'MAIN DATA, Orders'!$G:$G,"Development - Mine")/1000000000)</f>
        <v>0</v>
      </c>
      <c r="Y9" s="61">
        <f>(SUMIFS('MAIN DATA, Orders'!$M:$M,'MAIN DATA, Orders'!$Q:$Q,$A9,'MAIN DATA, Orders'!$C:$C,"Germany",'MAIN DATA, Orders'!$H:$H,"6")/1000000000)</f>
        <v>0</v>
      </c>
      <c r="Z9" s="61" cm="1">
        <f t="array" ref="Z9">SUM(SUMIFS('MAIN DATA, Orders'!$M:$M,'MAIN DATA, Orders'!$Q:$Q,$A9,'MAIN DATA, Orders'!$C:$C,"Germany",'MAIN DATA, Orders'!$G:$G,{"Development - Missile (Land)","Development - Missile (Naval)","Development - Missile (Air)"})/1000000000)</f>
        <v>0</v>
      </c>
      <c r="AA9" s="61">
        <f>(SUMIFS('MAIN DATA, Orders'!$M:$M,'MAIN DATA, Orders'!$Q:$Q,$A9,'MAIN DATA, Orders'!$C:$C,"Germany",'MAIN DATA, Orders'!$G:$G,"Modernisation")/1000000000)</f>
        <v>0</v>
      </c>
      <c r="AB9" s="61">
        <f>(SUMIFS('MAIN DATA, Orders'!$M:$M,'MAIN DATA, Orders'!$Q:$Q,$A9,'MAIN DATA, Orders'!$C:$C,"Germany",'MAIN DATA, Orders'!$G:$G,"Development - Modernisation")/1000000000)</f>
        <v>0</v>
      </c>
      <c r="AC9" s="61">
        <f>(SUMIFS('MAIN DATA, Orders'!$M:$M,'MAIN DATA, Orders'!$Q:$Q,$A9,'MAIN DATA, Orders'!$C:$C,"Germany",'MAIN DATA, Orders'!$G:$G,"Naval")/1000000000)</f>
        <v>0</v>
      </c>
      <c r="AD9" s="61">
        <f>(SUMIFS('MAIN DATA, Orders'!$M:$M,'MAIN DATA, Orders'!$Q:$Q,$A9,'MAIN DATA, Orders'!$C:$C,"Germany",'MAIN DATA, Orders'!$G:$G,"Development - Naval")/1000000000)</f>
        <v>0</v>
      </c>
      <c r="AE9" s="61">
        <f>(SUMIFS('MAIN DATA, Orders'!$M:$M,'MAIN DATA, Orders'!$Q:$Q,$A9,'MAIN DATA, Orders'!$C:$C,"Germany",'MAIN DATA, Orders'!$G:$G,"Other")/1000000000)</f>
        <v>0</v>
      </c>
      <c r="AF9" s="61">
        <f>(SUMIFS('MAIN DATA, Orders'!$M:$M,'MAIN DATA, Orders'!$Q:$Q,$A9,'MAIN DATA, Orders'!$C:$C,"Germany",'MAIN DATA, Orders'!$G:$G,"Development - Other")/1000000000)</f>
        <v>0</v>
      </c>
      <c r="AG9" s="61"/>
      <c r="AH9" s="61" cm="1">
        <f t="array" ref="AH9">SUM(SUMIFS('MAIN DATA, Orders'!$M:$M,'MAIN DATA, Orders'!$Q:$Q,$A9,'MAIN DATA, Orders'!$C:$C,"Germany",'MAIN DATA, Orders'!$G:$G,{"Missile (Land)","Development - Missile (Land)"})/1000000000)</f>
        <v>0</v>
      </c>
      <c r="AI9" s="61" cm="1">
        <f t="array" ref="AI9">SUM(SUMIFS('MAIN DATA, Orders'!$M:$M,'MAIN DATA, Orders'!$C:$C,"Germany",'MAIN DATA, Orders'!$G:$G,{"Missile (Air)","Development - Missile (Air)"},'MAIN DATA, Orders'!$Q:$Q,$A9)/1000000000)</f>
        <v>0</v>
      </c>
      <c r="AJ9" s="61" cm="1">
        <f t="array" ref="AJ9">SUM(SUMIFS('MAIN DATA, Orders'!$M:$M,'MAIN DATA, Orders'!$Q:$Q,$A9,'MAIN DATA, Orders'!$C:$C,"Germany",'MAIN DATA, Orders'!$G:$G,{"Missile (Naval)","Development - Missile (Naval)"})/1000000000)</f>
        <v>0</v>
      </c>
    </row>
    <row r="10" spans="1:36">
      <c r="A10" s="72">
        <v>4</v>
      </c>
      <c r="B10" s="68">
        <v>43922</v>
      </c>
      <c r="C10" s="61">
        <f>(SUMIFS('MAIN DATA, Orders'!$M:$M,'MAIN DATA, Orders'!$Q:$Q,$A10,'MAIN DATA, Orders'!$C:$C,"Germany",'MAIN DATA, Orders'!$G:$G,"Air defence system")/1000000000)</f>
        <v>0</v>
      </c>
      <c r="D10" s="61">
        <f>(SUMIFS('MAIN DATA, Orders'!$M:$M,'MAIN DATA, Orders'!$Q:$Q,$A10,'MAIN DATA, Orders'!$C:$C,"Germany",'MAIN DATA, Orders'!$G:$G,"Development - Air defence system")/1000000000)</f>
        <v>0</v>
      </c>
      <c r="E10" s="61">
        <f>(SUMIFS('MAIN DATA, Orders'!$M:$M,'MAIN DATA, Orders'!$Q:$Q,$A10,'MAIN DATA, Orders'!$C:$C,"Germany",'MAIN DATA, Orders'!$G:$G,"Aircraft")/1000000000)</f>
        <v>0</v>
      </c>
      <c r="F10" s="61">
        <f>(SUMIFS('MAIN DATA, Orders'!$M:$M,'MAIN DATA, Orders'!$Q:$Q,$A10,'MAIN DATA, Orders'!$C:$C,"Germany",'MAIN DATA, Orders'!$G:$G,"Development - Aircraft")/1000000000)</f>
        <v>0</v>
      </c>
      <c r="G10" s="61">
        <f>(SUMIFS('MAIN DATA, Orders'!$M:$M,'MAIN DATA, Orders'!$Q:$Q,$A10,'MAIN DATA, Orders'!$C:$C,"Germany",'MAIN DATA, Orders'!$G:$G,"Ammunition")/1000000000)</f>
        <v>0</v>
      </c>
      <c r="H10" s="61">
        <f>(SUMIFS('MAIN DATA, Orders'!$M:$M,'MAIN DATA, Orders'!$Q:$Q,$A10,'MAIN DATA, Orders'!$C:$C,"Germany",'MAIN DATA, Orders'!$G:$G,"Development - Ammunition")/1000000000)</f>
        <v>0</v>
      </c>
      <c r="I10" s="61">
        <f>(SUMIFS('MAIN DATA, Orders'!$M:$M,'MAIN DATA, Orders'!$Q:$Q,$A10,'MAIN DATA, Orders'!$C:$C,"Germany",'MAIN DATA, Orders'!$G:$G,"Armoured vehicle")/1000000000)</f>
        <v>0</v>
      </c>
      <c r="J10" s="61">
        <f>(SUMIFS('MAIN DATA, Orders'!$M:$M,'MAIN DATA, Orders'!$Q:$Q,$A10,'MAIN DATA, Orders'!$C:$C,"Germany",'MAIN DATA, Orders'!$G:$G,"Development - Armoured vehicle")/1000000000)</f>
        <v>0</v>
      </c>
      <c r="K10" s="61">
        <f>(SUMIFS('MAIN DATA, Orders'!$M:$M,'MAIN DATA, Orders'!$Q:$Q,$A10,'MAIN DATA, Orders'!$C:$C,"Germany",'MAIN DATA, Orders'!$G:$G,"Artillery")/1000000000)</f>
        <v>0</v>
      </c>
      <c r="L10" s="61">
        <f>(SUMIFS('MAIN DATA, Orders'!$M:$M,'MAIN DATA, Orders'!$Q:$Q,$A10,'MAIN DATA, Orders'!$C:$C,"Germany",'MAIN DATA, Orders'!$G:$G,"Development - Artillery")/1000000000)</f>
        <v>0</v>
      </c>
      <c r="M10" s="61">
        <f>(SUMIFS('MAIN DATA, Orders'!$M:$M,'MAIN DATA, Orders'!$Q:$Q,$A10,'MAIN DATA, Orders'!$C:$C,"Germany",'MAIN DATA, Orders'!$G:$G,"Drone")/1000000000)</f>
        <v>0</v>
      </c>
      <c r="N10" s="61">
        <f>(SUMIFS('MAIN DATA, Orders'!$M:$M,'MAIN DATA, Orders'!$Q:$Q,$A10,'MAIN DATA, Orders'!$C:$C,"Germany",'MAIN DATA, Orders'!$G:$G,"Development - Drone")/1000000000)</f>
        <v>0</v>
      </c>
      <c r="O10" s="61">
        <f>(SUMIFS('MAIN DATA, Orders'!$M:$M,'MAIN DATA, Orders'!$Q:$Q,$A10,'MAIN DATA, Orders'!$C:$C,"Germany",'MAIN DATA, Orders'!$G:$G,"Helicopter")/1000000000)</f>
        <v>0</v>
      </c>
      <c r="P10" s="61">
        <f>(SUMIFS('MAIN DATA, Orders'!$M:$M,'MAIN DATA, Orders'!$Q:$Q,$A10,'MAIN DATA, Orders'!$C:$C,"Germany",'MAIN DATA, Orders'!$G:$G,"Development - Helicopter")/1000000000)</f>
        <v>0</v>
      </c>
      <c r="Q10" s="61">
        <f>(SUMIFS('MAIN DATA, Orders'!$M:$M,'MAIN DATA, Orders'!$Q:$Q,$A10,'MAIN DATA, Orders'!$C:$C,"Germany",'MAIN DATA, Orders'!$G:$G,"Infantry")/1000000000)</f>
        <v>0</v>
      </c>
      <c r="R10" s="61">
        <f>(SUMIFS('MAIN DATA, Orders'!$M:$M,'MAIN DATA, Orders'!$Q:$Q,$A10,'MAIN DATA, Orders'!$C:$C,"Germany",'MAIN DATA, Orders'!$G:$G,"Development - Infantry")/1000000000)</f>
        <v>0</v>
      </c>
      <c r="S10" s="61">
        <f>(SUMIFS('MAIN DATA, Orders'!$M:$M,'MAIN DATA, Orders'!$Q:$Q,$A10,'MAIN DATA, Orders'!$C:$C,"Germany",'MAIN DATA, Orders'!$G:$G,"Tank")/1000000000)</f>
        <v>0</v>
      </c>
      <c r="T10" s="61">
        <f>(SUMIFS('MAIN DATA, Orders'!$M:$M,'MAIN DATA, Orders'!$Q:$Q,$A10,'MAIN DATA, Orders'!$C:$C,"Germany",'MAIN DATA, Orders'!$G:$G,"Development - Tank")/1000000000)</f>
        <v>0</v>
      </c>
      <c r="U10" s="61">
        <f>(SUMIFS('MAIN DATA, Orders'!$M:$M,'MAIN DATA, Orders'!$Q:$Q,$A10,'MAIN DATA, Orders'!$C:$C,"Germany",'MAIN DATA, Orders'!$G:$G,"Maintenance")/1000000000)</f>
        <v>0</v>
      </c>
      <c r="V10" s="61">
        <f>(SUMIFS('MAIN DATA, Orders'!$M:$M,'MAIN DATA, Orders'!$Q:$Q,$A10,'MAIN DATA, Orders'!$C:$C,"Germany",'MAIN DATA, Orders'!$G:$G,"Development - Maintenance")/1000000000)</f>
        <v>0</v>
      </c>
      <c r="W10" s="61">
        <f>(SUMIFS('MAIN DATA, Orders'!$M:$M,'MAIN DATA, Orders'!$Q:$Q,$A10,'MAIN DATA, Orders'!$C:$C,"Germany",'MAIN DATA, Orders'!$G:$G,"Mine")/1000000000)</f>
        <v>0</v>
      </c>
      <c r="X10" s="61">
        <f>(SUMIFS('MAIN DATA, Orders'!$M:$M,'MAIN DATA, Orders'!$Q:$Q,$A10,'MAIN DATA, Orders'!$C:$C,"Germany",'MAIN DATA, Orders'!$G:$G,"Development - Mine")/1000000000)</f>
        <v>0</v>
      </c>
      <c r="Y10" s="61">
        <f>(SUMIFS('MAIN DATA, Orders'!$M:$M,'MAIN DATA, Orders'!$Q:$Q,$A10,'MAIN DATA, Orders'!$C:$C,"Germany",'MAIN DATA, Orders'!$H:$H,"6")/1000000000)</f>
        <v>0</v>
      </c>
      <c r="Z10" s="61" cm="1">
        <f t="array" ref="Z10">SUM(SUMIFS('MAIN DATA, Orders'!$M:$M,'MAIN DATA, Orders'!$Q:$Q,$A10,'MAIN DATA, Orders'!$C:$C,"Germany",'MAIN DATA, Orders'!$G:$G,{"Development - Missile (Land)","Development - Missile (Naval)","Development - Missile (Air)"})/1000000000)</f>
        <v>0</v>
      </c>
      <c r="AA10" s="61">
        <f>(SUMIFS('MAIN DATA, Orders'!$M:$M,'MAIN DATA, Orders'!$Q:$Q,$A10,'MAIN DATA, Orders'!$C:$C,"Germany",'MAIN DATA, Orders'!$G:$G,"Modernisation")/1000000000)</f>
        <v>0</v>
      </c>
      <c r="AB10" s="61">
        <f>(SUMIFS('MAIN DATA, Orders'!$M:$M,'MAIN DATA, Orders'!$Q:$Q,$A10,'MAIN DATA, Orders'!$C:$C,"Germany",'MAIN DATA, Orders'!$G:$G,"Development - Modernisation")/1000000000)</f>
        <v>0</v>
      </c>
      <c r="AC10" s="61">
        <f>(SUMIFS('MAIN DATA, Orders'!$M:$M,'MAIN DATA, Orders'!$Q:$Q,$A10,'MAIN DATA, Orders'!$C:$C,"Germany",'MAIN DATA, Orders'!$G:$G,"Naval")/1000000000)</f>
        <v>0</v>
      </c>
      <c r="AD10" s="61">
        <f>(SUMIFS('MAIN DATA, Orders'!$M:$M,'MAIN DATA, Orders'!$Q:$Q,$A10,'MAIN DATA, Orders'!$C:$C,"Germany",'MAIN DATA, Orders'!$G:$G,"Development - Naval")/1000000000)</f>
        <v>0</v>
      </c>
      <c r="AE10" s="61">
        <f>(SUMIFS('MAIN DATA, Orders'!$M:$M,'MAIN DATA, Orders'!$Q:$Q,$A10,'MAIN DATA, Orders'!$C:$C,"Germany",'MAIN DATA, Orders'!$G:$G,"Other")/1000000000)</f>
        <v>0</v>
      </c>
      <c r="AF10" s="61">
        <f>(SUMIFS('MAIN DATA, Orders'!$M:$M,'MAIN DATA, Orders'!$Q:$Q,$A10,'MAIN DATA, Orders'!$C:$C,"Germany",'MAIN DATA, Orders'!$G:$G,"Development - Other")/1000000000)</f>
        <v>0</v>
      </c>
      <c r="AG10" s="61"/>
      <c r="AH10" s="61" cm="1">
        <f t="array" ref="AH10">SUM(SUMIFS('MAIN DATA, Orders'!$M:$M,'MAIN DATA, Orders'!$Q:$Q,$A10,'MAIN DATA, Orders'!$C:$C,"Germany",'MAIN DATA, Orders'!$G:$G,{"Missile (Land)","Development - Missile (Land)"})/1000000000)</f>
        <v>0</v>
      </c>
      <c r="AI10" s="61" cm="1">
        <f t="array" ref="AI10">SUM(SUMIFS('MAIN DATA, Orders'!$M:$M,'MAIN DATA, Orders'!$C:$C,"Germany",'MAIN DATA, Orders'!$G:$G,{"Missile (Air)","Development - Missile (Air)"},'MAIN DATA, Orders'!$Q:$Q,$A10)/1000000000)</f>
        <v>0</v>
      </c>
      <c r="AJ10" s="61" cm="1">
        <f t="array" ref="AJ10">SUM(SUMIFS('MAIN DATA, Orders'!$M:$M,'MAIN DATA, Orders'!$Q:$Q,$A10,'MAIN DATA, Orders'!$C:$C,"Germany",'MAIN DATA, Orders'!$G:$G,{"Missile (Naval)","Development - Missile (Naval)"})/1000000000)</f>
        <v>0</v>
      </c>
    </row>
    <row r="11" spans="1:36">
      <c r="A11" s="72">
        <v>5</v>
      </c>
      <c r="B11" s="68">
        <v>43952</v>
      </c>
      <c r="C11" s="61">
        <f>(SUMIFS('MAIN DATA, Orders'!$M:$M,'MAIN DATA, Orders'!$Q:$Q,$A11,'MAIN DATA, Orders'!$C:$C,"Germany",'MAIN DATA, Orders'!$G:$G,"Air defence system")/1000000000)</f>
        <v>0</v>
      </c>
      <c r="D11" s="61">
        <f>(SUMIFS('MAIN DATA, Orders'!$M:$M,'MAIN DATA, Orders'!$Q:$Q,$A11,'MAIN DATA, Orders'!$C:$C,"Germany",'MAIN DATA, Orders'!$G:$G,"Development - Air defence system")/1000000000)</f>
        <v>0</v>
      </c>
      <c r="E11" s="61">
        <f>(SUMIFS('MAIN DATA, Orders'!$M:$M,'MAIN DATA, Orders'!$Q:$Q,$A11,'MAIN DATA, Orders'!$C:$C,"Germany",'MAIN DATA, Orders'!$G:$G,"Aircraft")/1000000000)</f>
        <v>0</v>
      </c>
      <c r="F11" s="61">
        <f>(SUMIFS('MAIN DATA, Orders'!$M:$M,'MAIN DATA, Orders'!$Q:$Q,$A11,'MAIN DATA, Orders'!$C:$C,"Germany",'MAIN DATA, Orders'!$G:$G,"Development - Aircraft")/1000000000)</f>
        <v>0</v>
      </c>
      <c r="G11" s="61">
        <f>(SUMIFS('MAIN DATA, Orders'!$M:$M,'MAIN DATA, Orders'!$Q:$Q,$A11,'MAIN DATA, Orders'!$C:$C,"Germany",'MAIN DATA, Orders'!$G:$G,"Ammunition")/1000000000)</f>
        <v>0</v>
      </c>
      <c r="H11" s="61">
        <f>(SUMIFS('MAIN DATA, Orders'!$M:$M,'MAIN DATA, Orders'!$Q:$Q,$A11,'MAIN DATA, Orders'!$C:$C,"Germany",'MAIN DATA, Orders'!$G:$G,"Development - Ammunition")/1000000000)</f>
        <v>0</v>
      </c>
      <c r="I11" s="61">
        <f>(SUMIFS('MAIN DATA, Orders'!$M:$M,'MAIN DATA, Orders'!$Q:$Q,$A11,'MAIN DATA, Orders'!$C:$C,"Germany",'MAIN DATA, Orders'!$G:$G,"Armoured vehicle")/1000000000)</f>
        <v>0</v>
      </c>
      <c r="J11" s="61">
        <f>(SUMIFS('MAIN DATA, Orders'!$M:$M,'MAIN DATA, Orders'!$Q:$Q,$A11,'MAIN DATA, Orders'!$C:$C,"Germany",'MAIN DATA, Orders'!$G:$G,"Development - Armoured vehicle")/1000000000)</f>
        <v>0</v>
      </c>
      <c r="K11" s="61">
        <f>(SUMIFS('MAIN DATA, Orders'!$M:$M,'MAIN DATA, Orders'!$Q:$Q,$A11,'MAIN DATA, Orders'!$C:$C,"Germany",'MAIN DATA, Orders'!$G:$G,"Artillery")/1000000000)</f>
        <v>0</v>
      </c>
      <c r="L11" s="61">
        <f>(SUMIFS('MAIN DATA, Orders'!$M:$M,'MAIN DATA, Orders'!$Q:$Q,$A11,'MAIN DATA, Orders'!$C:$C,"Germany",'MAIN DATA, Orders'!$G:$G,"Development - Artillery")/1000000000)</f>
        <v>0</v>
      </c>
      <c r="M11" s="61">
        <f>(SUMIFS('MAIN DATA, Orders'!$M:$M,'MAIN DATA, Orders'!$Q:$Q,$A11,'MAIN DATA, Orders'!$C:$C,"Germany",'MAIN DATA, Orders'!$G:$G,"Drone")/1000000000)</f>
        <v>0.03</v>
      </c>
      <c r="N11" s="61">
        <f>(SUMIFS('MAIN DATA, Orders'!$M:$M,'MAIN DATA, Orders'!$Q:$Q,$A11,'MAIN DATA, Orders'!$C:$C,"Germany",'MAIN DATA, Orders'!$G:$G,"Development - Drone")/1000000000)</f>
        <v>0</v>
      </c>
      <c r="O11" s="61">
        <f>(SUMIFS('MAIN DATA, Orders'!$M:$M,'MAIN DATA, Orders'!$Q:$Q,$A11,'MAIN DATA, Orders'!$C:$C,"Germany",'MAIN DATA, Orders'!$G:$G,"Helicopter")/1000000000)</f>
        <v>0</v>
      </c>
      <c r="P11" s="61">
        <f>(SUMIFS('MAIN DATA, Orders'!$M:$M,'MAIN DATA, Orders'!$Q:$Q,$A11,'MAIN DATA, Orders'!$C:$C,"Germany",'MAIN DATA, Orders'!$G:$G,"Development - Helicopter")/1000000000)</f>
        <v>0</v>
      </c>
      <c r="Q11" s="61">
        <f>(SUMIFS('MAIN DATA, Orders'!$M:$M,'MAIN DATA, Orders'!$Q:$Q,$A11,'MAIN DATA, Orders'!$C:$C,"Germany",'MAIN DATA, Orders'!$G:$G,"Infantry")/1000000000)</f>
        <v>0</v>
      </c>
      <c r="R11" s="61">
        <f>(SUMIFS('MAIN DATA, Orders'!$M:$M,'MAIN DATA, Orders'!$Q:$Q,$A11,'MAIN DATA, Orders'!$C:$C,"Germany",'MAIN DATA, Orders'!$G:$G,"Development - Infantry")/1000000000)</f>
        <v>0</v>
      </c>
      <c r="S11" s="61">
        <f>(SUMIFS('MAIN DATA, Orders'!$M:$M,'MAIN DATA, Orders'!$Q:$Q,$A11,'MAIN DATA, Orders'!$C:$C,"Germany",'MAIN DATA, Orders'!$G:$G,"Tank")/1000000000)</f>
        <v>0</v>
      </c>
      <c r="T11" s="61">
        <f>(SUMIFS('MAIN DATA, Orders'!$M:$M,'MAIN DATA, Orders'!$Q:$Q,$A11,'MAIN DATA, Orders'!$C:$C,"Germany",'MAIN DATA, Orders'!$G:$G,"Development - Tank")/1000000000)</f>
        <v>0</v>
      </c>
      <c r="U11" s="61">
        <f>(SUMIFS('MAIN DATA, Orders'!$M:$M,'MAIN DATA, Orders'!$Q:$Q,$A11,'MAIN DATA, Orders'!$C:$C,"Germany",'MAIN DATA, Orders'!$G:$G,"Maintenance")/1000000000)</f>
        <v>0</v>
      </c>
      <c r="V11" s="61">
        <f>(SUMIFS('MAIN DATA, Orders'!$M:$M,'MAIN DATA, Orders'!$Q:$Q,$A11,'MAIN DATA, Orders'!$C:$C,"Germany",'MAIN DATA, Orders'!$G:$G,"Development - Maintenance")/1000000000)</f>
        <v>0</v>
      </c>
      <c r="W11" s="61">
        <f>(SUMIFS('MAIN DATA, Orders'!$M:$M,'MAIN DATA, Orders'!$Q:$Q,$A11,'MAIN DATA, Orders'!$C:$C,"Germany",'MAIN DATA, Orders'!$G:$G,"Mine")/1000000000)</f>
        <v>0</v>
      </c>
      <c r="X11" s="61">
        <f>(SUMIFS('MAIN DATA, Orders'!$M:$M,'MAIN DATA, Orders'!$Q:$Q,$A11,'MAIN DATA, Orders'!$C:$C,"Germany",'MAIN DATA, Orders'!$G:$G,"Development - Mine")/1000000000)</f>
        <v>0</v>
      </c>
      <c r="Y11" s="61">
        <f>(SUMIFS('MAIN DATA, Orders'!$M:$M,'MAIN DATA, Orders'!$Q:$Q,$A11,'MAIN DATA, Orders'!$C:$C,"Germany",'MAIN DATA, Orders'!$H:$H,"6")/1000000000)</f>
        <v>0</v>
      </c>
      <c r="Z11" s="61" cm="1">
        <f t="array" ref="Z11">SUM(SUMIFS('MAIN DATA, Orders'!$M:$M,'MAIN DATA, Orders'!$Q:$Q,$A11,'MAIN DATA, Orders'!$C:$C,"Germany",'MAIN DATA, Orders'!$G:$G,{"Development - Missile (Land)","Development - Missile (Naval)","Development - Missile (Air)"})/1000000000)</f>
        <v>0</v>
      </c>
      <c r="AA11" s="61">
        <f>(SUMIFS('MAIN DATA, Orders'!$M:$M,'MAIN DATA, Orders'!$Q:$Q,$A11,'MAIN DATA, Orders'!$C:$C,"Germany",'MAIN DATA, Orders'!$G:$G,"Modernisation")/1000000000)</f>
        <v>0</v>
      </c>
      <c r="AB11" s="61">
        <f>(SUMIFS('MAIN DATA, Orders'!$M:$M,'MAIN DATA, Orders'!$Q:$Q,$A11,'MAIN DATA, Orders'!$C:$C,"Germany",'MAIN DATA, Orders'!$G:$G,"Development - Modernisation")/1000000000)</f>
        <v>0</v>
      </c>
      <c r="AC11" s="61">
        <f>(SUMIFS('MAIN DATA, Orders'!$M:$M,'MAIN DATA, Orders'!$Q:$Q,$A11,'MAIN DATA, Orders'!$C:$C,"Germany",'MAIN DATA, Orders'!$G:$G,"Naval")/1000000000)</f>
        <v>0</v>
      </c>
      <c r="AD11" s="61">
        <f>(SUMIFS('MAIN DATA, Orders'!$M:$M,'MAIN DATA, Orders'!$Q:$Q,$A11,'MAIN DATA, Orders'!$C:$C,"Germany",'MAIN DATA, Orders'!$G:$G,"Development - Naval")/1000000000)</f>
        <v>0</v>
      </c>
      <c r="AE11" s="61">
        <f>(SUMIFS('MAIN DATA, Orders'!$M:$M,'MAIN DATA, Orders'!$Q:$Q,$A11,'MAIN DATA, Orders'!$C:$C,"Germany",'MAIN DATA, Orders'!$G:$G,"Other")/1000000000)</f>
        <v>0</v>
      </c>
      <c r="AF11" s="61">
        <f>(SUMIFS('MAIN DATA, Orders'!$M:$M,'MAIN DATA, Orders'!$Q:$Q,$A11,'MAIN DATA, Orders'!$C:$C,"Germany",'MAIN DATA, Orders'!$G:$G,"Development - Other")/1000000000)</f>
        <v>0</v>
      </c>
      <c r="AG11" s="61"/>
      <c r="AH11" s="61" cm="1">
        <f t="array" ref="AH11">SUM(SUMIFS('MAIN DATA, Orders'!$M:$M,'MAIN DATA, Orders'!$Q:$Q,$A11,'MAIN DATA, Orders'!$C:$C,"Germany",'MAIN DATA, Orders'!$G:$G,{"Missile (Land)","Development - Missile (Land)"})/1000000000)</f>
        <v>0</v>
      </c>
      <c r="AI11" s="61" cm="1">
        <f t="array" ref="AI11">SUM(SUMIFS('MAIN DATA, Orders'!$M:$M,'MAIN DATA, Orders'!$C:$C,"Germany",'MAIN DATA, Orders'!$G:$G,{"Missile (Air)","Development - Missile (Air)"},'MAIN DATA, Orders'!$Q:$Q,$A11)/1000000000)</f>
        <v>0</v>
      </c>
      <c r="AJ11" s="61" cm="1">
        <f t="array" ref="AJ11">SUM(SUMIFS('MAIN DATA, Orders'!$M:$M,'MAIN DATA, Orders'!$Q:$Q,$A11,'MAIN DATA, Orders'!$C:$C,"Germany",'MAIN DATA, Orders'!$G:$G,{"Missile (Naval)","Development - Missile (Naval)"})/1000000000)</f>
        <v>0</v>
      </c>
    </row>
    <row r="12" spans="1:36">
      <c r="A12" s="72">
        <v>6</v>
      </c>
      <c r="B12" s="68">
        <v>43983</v>
      </c>
      <c r="C12" s="61">
        <f>(SUMIFS('MAIN DATA, Orders'!$M:$M,'MAIN DATA, Orders'!$Q:$Q,$A12,'MAIN DATA, Orders'!$C:$C,"Germany",'MAIN DATA, Orders'!$G:$G,"Air defence system")/1000000000)</f>
        <v>0</v>
      </c>
      <c r="D12" s="61">
        <f>(SUMIFS('MAIN DATA, Orders'!$M:$M,'MAIN DATA, Orders'!$Q:$Q,$A12,'MAIN DATA, Orders'!$C:$C,"Germany",'MAIN DATA, Orders'!$G:$G,"Development - Air defence system")/1000000000)</f>
        <v>0</v>
      </c>
      <c r="E12" s="61">
        <f>(SUMIFS('MAIN DATA, Orders'!$M:$M,'MAIN DATA, Orders'!$Q:$Q,$A12,'MAIN DATA, Orders'!$C:$C,"Germany",'MAIN DATA, Orders'!$G:$G,"Aircraft")/1000000000)</f>
        <v>2.8</v>
      </c>
      <c r="F12" s="61">
        <f>(SUMIFS('MAIN DATA, Orders'!$M:$M,'MAIN DATA, Orders'!$Q:$Q,$A12,'MAIN DATA, Orders'!$C:$C,"Germany",'MAIN DATA, Orders'!$G:$G,"Development - Aircraft")/1000000000)</f>
        <v>0</v>
      </c>
      <c r="G12" s="61">
        <f>(SUMIFS('MAIN DATA, Orders'!$M:$M,'MAIN DATA, Orders'!$Q:$Q,$A12,'MAIN DATA, Orders'!$C:$C,"Germany",'MAIN DATA, Orders'!$G:$G,"Ammunition")/1000000000)</f>
        <v>0</v>
      </c>
      <c r="H12" s="61">
        <f>(SUMIFS('MAIN DATA, Orders'!$M:$M,'MAIN DATA, Orders'!$Q:$Q,$A12,'MAIN DATA, Orders'!$C:$C,"Germany",'MAIN DATA, Orders'!$G:$G,"Development - Ammunition")/1000000000)</f>
        <v>0</v>
      </c>
      <c r="I12" s="61">
        <f>(SUMIFS('MAIN DATA, Orders'!$M:$M,'MAIN DATA, Orders'!$Q:$Q,$A12,'MAIN DATA, Orders'!$C:$C,"Germany",'MAIN DATA, Orders'!$G:$G,"Armoured vehicle")/1000000000)</f>
        <v>0</v>
      </c>
      <c r="J12" s="61">
        <f>(SUMIFS('MAIN DATA, Orders'!$M:$M,'MAIN DATA, Orders'!$Q:$Q,$A12,'MAIN DATA, Orders'!$C:$C,"Germany",'MAIN DATA, Orders'!$G:$G,"Development - Armoured vehicle")/1000000000)</f>
        <v>0</v>
      </c>
      <c r="K12" s="61">
        <f>(SUMIFS('MAIN DATA, Orders'!$M:$M,'MAIN DATA, Orders'!$Q:$Q,$A12,'MAIN DATA, Orders'!$C:$C,"Germany",'MAIN DATA, Orders'!$G:$G,"Artillery")/1000000000)</f>
        <v>0</v>
      </c>
      <c r="L12" s="61">
        <f>(SUMIFS('MAIN DATA, Orders'!$M:$M,'MAIN DATA, Orders'!$Q:$Q,$A12,'MAIN DATA, Orders'!$C:$C,"Germany",'MAIN DATA, Orders'!$G:$G,"Development - Artillery")/1000000000)</f>
        <v>0</v>
      </c>
      <c r="M12" s="61">
        <f>(SUMIFS('MAIN DATA, Orders'!$M:$M,'MAIN DATA, Orders'!$Q:$Q,$A12,'MAIN DATA, Orders'!$C:$C,"Germany",'MAIN DATA, Orders'!$G:$G,"Drone")/1000000000)</f>
        <v>0</v>
      </c>
      <c r="N12" s="61">
        <f>(SUMIFS('MAIN DATA, Orders'!$M:$M,'MAIN DATA, Orders'!$Q:$Q,$A12,'MAIN DATA, Orders'!$C:$C,"Germany",'MAIN DATA, Orders'!$G:$G,"Development - Drone")/1000000000)</f>
        <v>0</v>
      </c>
      <c r="O12" s="61">
        <f>(SUMIFS('MAIN DATA, Orders'!$M:$M,'MAIN DATA, Orders'!$Q:$Q,$A12,'MAIN DATA, Orders'!$C:$C,"Germany",'MAIN DATA, Orders'!$G:$G,"Helicopter")/1000000000)</f>
        <v>0</v>
      </c>
      <c r="P12" s="61">
        <f>(SUMIFS('MAIN DATA, Orders'!$M:$M,'MAIN DATA, Orders'!$Q:$Q,$A12,'MAIN DATA, Orders'!$C:$C,"Germany",'MAIN DATA, Orders'!$G:$G,"Development - Helicopter")/1000000000)</f>
        <v>0</v>
      </c>
      <c r="Q12" s="61">
        <f>(SUMIFS('MAIN DATA, Orders'!$M:$M,'MAIN DATA, Orders'!$Q:$Q,$A12,'MAIN DATA, Orders'!$C:$C,"Germany",'MAIN DATA, Orders'!$G:$G,"Infantry")/1000000000)</f>
        <v>0</v>
      </c>
      <c r="R12" s="61">
        <f>(SUMIFS('MAIN DATA, Orders'!$M:$M,'MAIN DATA, Orders'!$Q:$Q,$A12,'MAIN DATA, Orders'!$C:$C,"Germany",'MAIN DATA, Orders'!$G:$G,"Development - Infantry")/1000000000)</f>
        <v>0</v>
      </c>
      <c r="S12" s="61">
        <f>(SUMIFS('MAIN DATA, Orders'!$M:$M,'MAIN DATA, Orders'!$Q:$Q,$A12,'MAIN DATA, Orders'!$C:$C,"Germany",'MAIN DATA, Orders'!$G:$G,"Tank")/1000000000)</f>
        <v>0</v>
      </c>
      <c r="T12" s="61">
        <f>(SUMIFS('MAIN DATA, Orders'!$M:$M,'MAIN DATA, Orders'!$Q:$Q,$A12,'MAIN DATA, Orders'!$C:$C,"Germany",'MAIN DATA, Orders'!$G:$G,"Development - Tank")/1000000000)</f>
        <v>0</v>
      </c>
      <c r="U12" s="61">
        <f>(SUMIFS('MAIN DATA, Orders'!$M:$M,'MAIN DATA, Orders'!$Q:$Q,$A12,'MAIN DATA, Orders'!$C:$C,"Germany",'MAIN DATA, Orders'!$G:$G,"Maintenance")/1000000000)</f>
        <v>0</v>
      </c>
      <c r="V12" s="61">
        <f>(SUMIFS('MAIN DATA, Orders'!$M:$M,'MAIN DATA, Orders'!$Q:$Q,$A12,'MAIN DATA, Orders'!$C:$C,"Germany",'MAIN DATA, Orders'!$G:$G,"Development - Maintenance")/1000000000)</f>
        <v>0</v>
      </c>
      <c r="W12" s="61">
        <f>(SUMIFS('MAIN DATA, Orders'!$M:$M,'MAIN DATA, Orders'!$Q:$Q,$A12,'MAIN DATA, Orders'!$C:$C,"Germany",'MAIN DATA, Orders'!$G:$G,"Mine")/1000000000)</f>
        <v>0</v>
      </c>
      <c r="X12" s="61">
        <f>(SUMIFS('MAIN DATA, Orders'!$M:$M,'MAIN DATA, Orders'!$Q:$Q,$A12,'MAIN DATA, Orders'!$C:$C,"Germany",'MAIN DATA, Orders'!$G:$G,"Development - Mine")/1000000000)</f>
        <v>0</v>
      </c>
      <c r="Y12" s="61">
        <f>(SUMIFS('MAIN DATA, Orders'!$M:$M,'MAIN DATA, Orders'!$Q:$Q,$A12,'MAIN DATA, Orders'!$C:$C,"Germany",'MAIN DATA, Orders'!$H:$H,"6")/1000000000)</f>
        <v>0</v>
      </c>
      <c r="Z12" s="61" cm="1">
        <f t="array" ref="Z12">SUM(SUMIFS('MAIN DATA, Orders'!$M:$M,'MAIN DATA, Orders'!$Q:$Q,$A12,'MAIN DATA, Orders'!$C:$C,"Germany",'MAIN DATA, Orders'!$G:$G,{"Development - Missile (Land)","Development - Missile (Naval)","Development - Missile (Air)"})/1000000000)</f>
        <v>0</v>
      </c>
      <c r="AA12" s="61">
        <f>(SUMIFS('MAIN DATA, Orders'!$M:$M,'MAIN DATA, Orders'!$Q:$Q,$A12,'MAIN DATA, Orders'!$C:$C,"Germany",'MAIN DATA, Orders'!$G:$G,"Modernisation")/1000000000)</f>
        <v>4.5999999999999996</v>
      </c>
      <c r="AB12" s="61">
        <f>(SUMIFS('MAIN DATA, Orders'!$M:$M,'MAIN DATA, Orders'!$Q:$Q,$A12,'MAIN DATA, Orders'!$C:$C,"Germany",'MAIN DATA, Orders'!$G:$G,"Development - Modernisation")/1000000000)</f>
        <v>0</v>
      </c>
      <c r="AC12" s="61">
        <f>(SUMIFS('MAIN DATA, Orders'!$M:$M,'MAIN DATA, Orders'!$Q:$Q,$A12,'MAIN DATA, Orders'!$C:$C,"Germany",'MAIN DATA, Orders'!$G:$G,"Naval")/1000000000)</f>
        <v>5.6</v>
      </c>
      <c r="AD12" s="61">
        <f>(SUMIFS('MAIN DATA, Orders'!$M:$M,'MAIN DATA, Orders'!$Q:$Q,$A12,'MAIN DATA, Orders'!$C:$C,"Germany",'MAIN DATA, Orders'!$G:$G,"Development - Naval")/1000000000)</f>
        <v>0</v>
      </c>
      <c r="AE12" s="61">
        <f>(SUMIFS('MAIN DATA, Orders'!$M:$M,'MAIN DATA, Orders'!$Q:$Q,$A12,'MAIN DATA, Orders'!$C:$C,"Germany",'MAIN DATA, Orders'!$G:$G,"Other")/1000000000)</f>
        <v>0</v>
      </c>
      <c r="AF12" s="61">
        <f>(SUMIFS('MAIN DATA, Orders'!$M:$M,'MAIN DATA, Orders'!$Q:$Q,$A12,'MAIN DATA, Orders'!$C:$C,"Germany",'MAIN DATA, Orders'!$G:$G,"Development - Other")/1000000000)</f>
        <v>0</v>
      </c>
      <c r="AG12" s="61"/>
      <c r="AH12" s="61" cm="1">
        <f t="array" ref="AH12">SUM(SUMIFS('MAIN DATA, Orders'!$M:$M,'MAIN DATA, Orders'!$Q:$Q,$A12,'MAIN DATA, Orders'!$C:$C,"Germany",'MAIN DATA, Orders'!$G:$G,{"Missile (Land)","Development - Missile (Land)"})/1000000000)</f>
        <v>0</v>
      </c>
      <c r="AI12" s="61" cm="1">
        <f t="array" ref="AI12">SUM(SUMIFS('MAIN DATA, Orders'!$M:$M,'MAIN DATA, Orders'!$C:$C,"Germany",'MAIN DATA, Orders'!$G:$G,{"Missile (Air)","Development - Missile (Air)"},'MAIN DATA, Orders'!$Q:$Q,$A12)/1000000000)</f>
        <v>0</v>
      </c>
      <c r="AJ12" s="61" cm="1">
        <f t="array" ref="AJ12">SUM(SUMIFS('MAIN DATA, Orders'!$M:$M,'MAIN DATA, Orders'!$Q:$Q,$A12,'MAIN DATA, Orders'!$C:$C,"Germany",'MAIN DATA, Orders'!$G:$G,{"Missile (Naval)","Development - Missile (Naval)"})/1000000000)</f>
        <v>0</v>
      </c>
    </row>
    <row r="13" spans="1:36">
      <c r="A13" s="72">
        <v>7</v>
      </c>
      <c r="B13" s="68">
        <v>44013</v>
      </c>
      <c r="C13" s="61">
        <f>(SUMIFS('MAIN DATA, Orders'!$M:$M,'MAIN DATA, Orders'!$Q:$Q,$A13,'MAIN DATA, Orders'!$C:$C,"Germany",'MAIN DATA, Orders'!$G:$G,"Air defence system")/1000000000)</f>
        <v>0</v>
      </c>
      <c r="D13" s="61">
        <f>(SUMIFS('MAIN DATA, Orders'!$M:$M,'MAIN DATA, Orders'!$Q:$Q,$A13,'MAIN DATA, Orders'!$C:$C,"Germany",'MAIN DATA, Orders'!$G:$G,"Development - Air defence system")/1000000000)</f>
        <v>0</v>
      </c>
      <c r="E13" s="61">
        <f>(SUMIFS('MAIN DATA, Orders'!$M:$M,'MAIN DATA, Orders'!$Q:$Q,$A13,'MAIN DATA, Orders'!$C:$C,"Germany",'MAIN DATA, Orders'!$G:$G,"Aircraft")/1000000000)</f>
        <v>0</v>
      </c>
      <c r="F13" s="61">
        <f>(SUMIFS('MAIN DATA, Orders'!$M:$M,'MAIN DATA, Orders'!$Q:$Q,$A13,'MAIN DATA, Orders'!$C:$C,"Germany",'MAIN DATA, Orders'!$G:$G,"Development - Aircraft")/1000000000)</f>
        <v>0</v>
      </c>
      <c r="G13" s="61">
        <f>(SUMIFS('MAIN DATA, Orders'!$M:$M,'MAIN DATA, Orders'!$Q:$Q,$A13,'MAIN DATA, Orders'!$C:$C,"Germany",'MAIN DATA, Orders'!$G:$G,"Ammunition")/1000000000)</f>
        <v>0</v>
      </c>
      <c r="H13" s="61">
        <f>(SUMIFS('MAIN DATA, Orders'!$M:$M,'MAIN DATA, Orders'!$Q:$Q,$A13,'MAIN DATA, Orders'!$C:$C,"Germany",'MAIN DATA, Orders'!$G:$G,"Development - Ammunition")/1000000000)</f>
        <v>0</v>
      </c>
      <c r="I13" s="61">
        <f>(SUMIFS('MAIN DATA, Orders'!$M:$M,'MAIN DATA, Orders'!$Q:$Q,$A13,'MAIN DATA, Orders'!$C:$C,"Germany",'MAIN DATA, Orders'!$G:$G,"Armoured vehicle")/1000000000)</f>
        <v>0</v>
      </c>
      <c r="J13" s="61">
        <f>(SUMIFS('MAIN DATA, Orders'!$M:$M,'MAIN DATA, Orders'!$Q:$Q,$A13,'MAIN DATA, Orders'!$C:$C,"Germany",'MAIN DATA, Orders'!$G:$G,"Development - Armoured vehicle")/1000000000)</f>
        <v>0</v>
      </c>
      <c r="K13" s="61">
        <f>(SUMIFS('MAIN DATA, Orders'!$M:$M,'MAIN DATA, Orders'!$Q:$Q,$A13,'MAIN DATA, Orders'!$C:$C,"Germany",'MAIN DATA, Orders'!$G:$G,"Artillery")/1000000000)</f>
        <v>0</v>
      </c>
      <c r="L13" s="61">
        <f>(SUMIFS('MAIN DATA, Orders'!$M:$M,'MAIN DATA, Orders'!$Q:$Q,$A13,'MAIN DATA, Orders'!$C:$C,"Germany",'MAIN DATA, Orders'!$G:$G,"Development - Artillery")/1000000000)</f>
        <v>0</v>
      </c>
      <c r="M13" s="61">
        <f>(SUMIFS('MAIN DATA, Orders'!$M:$M,'MAIN DATA, Orders'!$Q:$Q,$A13,'MAIN DATA, Orders'!$C:$C,"Germany",'MAIN DATA, Orders'!$G:$G,"Drone")/1000000000)</f>
        <v>0</v>
      </c>
      <c r="N13" s="61">
        <f>(SUMIFS('MAIN DATA, Orders'!$M:$M,'MAIN DATA, Orders'!$Q:$Q,$A13,'MAIN DATA, Orders'!$C:$C,"Germany",'MAIN DATA, Orders'!$G:$G,"Development - Drone")/1000000000)</f>
        <v>0</v>
      </c>
      <c r="O13" s="61">
        <f>(SUMIFS('MAIN DATA, Orders'!$M:$M,'MAIN DATA, Orders'!$Q:$Q,$A13,'MAIN DATA, Orders'!$C:$C,"Germany",'MAIN DATA, Orders'!$G:$G,"Helicopter")/1000000000)</f>
        <v>0</v>
      </c>
      <c r="P13" s="61">
        <f>(SUMIFS('MAIN DATA, Orders'!$M:$M,'MAIN DATA, Orders'!$Q:$Q,$A13,'MAIN DATA, Orders'!$C:$C,"Germany",'MAIN DATA, Orders'!$G:$G,"Development - Helicopter")/1000000000)</f>
        <v>0</v>
      </c>
      <c r="Q13" s="61">
        <f>(SUMIFS('MAIN DATA, Orders'!$M:$M,'MAIN DATA, Orders'!$Q:$Q,$A13,'MAIN DATA, Orders'!$C:$C,"Germany",'MAIN DATA, Orders'!$G:$G,"Infantry")/1000000000)</f>
        <v>0</v>
      </c>
      <c r="R13" s="61">
        <f>(SUMIFS('MAIN DATA, Orders'!$M:$M,'MAIN DATA, Orders'!$Q:$Q,$A13,'MAIN DATA, Orders'!$C:$C,"Germany",'MAIN DATA, Orders'!$G:$G,"Development - Infantry")/1000000000)</f>
        <v>0</v>
      </c>
      <c r="S13" s="61">
        <f>(SUMIFS('MAIN DATA, Orders'!$M:$M,'MAIN DATA, Orders'!$Q:$Q,$A13,'MAIN DATA, Orders'!$C:$C,"Germany",'MAIN DATA, Orders'!$G:$G,"Tank")/1000000000)</f>
        <v>0</v>
      </c>
      <c r="T13" s="61">
        <f>(SUMIFS('MAIN DATA, Orders'!$M:$M,'MAIN DATA, Orders'!$Q:$Q,$A13,'MAIN DATA, Orders'!$C:$C,"Germany",'MAIN DATA, Orders'!$G:$G,"Development - Tank")/1000000000)</f>
        <v>0</v>
      </c>
      <c r="U13" s="61">
        <f>(SUMIFS('MAIN DATA, Orders'!$M:$M,'MAIN DATA, Orders'!$Q:$Q,$A13,'MAIN DATA, Orders'!$C:$C,"Germany",'MAIN DATA, Orders'!$G:$G,"Maintenance")/1000000000)</f>
        <v>0</v>
      </c>
      <c r="V13" s="61">
        <f>(SUMIFS('MAIN DATA, Orders'!$M:$M,'MAIN DATA, Orders'!$Q:$Q,$A13,'MAIN DATA, Orders'!$C:$C,"Germany",'MAIN DATA, Orders'!$G:$G,"Development - Maintenance")/1000000000)</f>
        <v>0</v>
      </c>
      <c r="W13" s="61">
        <f>(SUMIFS('MAIN DATA, Orders'!$M:$M,'MAIN DATA, Orders'!$Q:$Q,$A13,'MAIN DATA, Orders'!$C:$C,"Germany",'MAIN DATA, Orders'!$G:$G,"Mine")/1000000000)</f>
        <v>0</v>
      </c>
      <c r="X13" s="61">
        <f>(SUMIFS('MAIN DATA, Orders'!$M:$M,'MAIN DATA, Orders'!$Q:$Q,$A13,'MAIN DATA, Orders'!$C:$C,"Germany",'MAIN DATA, Orders'!$G:$G,"Development - Mine")/1000000000)</f>
        <v>0</v>
      </c>
      <c r="Y13" s="61">
        <f>(SUMIFS('MAIN DATA, Orders'!$M:$M,'MAIN DATA, Orders'!$Q:$Q,$A13,'MAIN DATA, Orders'!$C:$C,"Germany",'MAIN DATA, Orders'!$H:$H,"6")/1000000000)</f>
        <v>0</v>
      </c>
      <c r="Z13" s="61" cm="1">
        <f t="array" ref="Z13">SUM(SUMIFS('MAIN DATA, Orders'!$M:$M,'MAIN DATA, Orders'!$Q:$Q,$A13,'MAIN DATA, Orders'!$C:$C,"Germany",'MAIN DATA, Orders'!$G:$G,{"Development - Missile (Land)","Development - Missile (Naval)","Development - Missile (Air)"})/1000000000)</f>
        <v>0</v>
      </c>
      <c r="AA13" s="61">
        <f>(SUMIFS('MAIN DATA, Orders'!$M:$M,'MAIN DATA, Orders'!$Q:$Q,$A13,'MAIN DATA, Orders'!$C:$C,"Germany",'MAIN DATA, Orders'!$G:$G,"Modernisation")/1000000000)</f>
        <v>0</v>
      </c>
      <c r="AB13" s="61">
        <f>(SUMIFS('MAIN DATA, Orders'!$M:$M,'MAIN DATA, Orders'!$Q:$Q,$A13,'MAIN DATA, Orders'!$C:$C,"Germany",'MAIN DATA, Orders'!$G:$G,"Development - Modernisation")/1000000000)</f>
        <v>0</v>
      </c>
      <c r="AC13" s="61">
        <f>(SUMIFS('MAIN DATA, Orders'!$M:$M,'MAIN DATA, Orders'!$Q:$Q,$A13,'MAIN DATA, Orders'!$C:$C,"Germany",'MAIN DATA, Orders'!$G:$G,"Naval")/1000000000)</f>
        <v>0</v>
      </c>
      <c r="AD13" s="61">
        <f>(SUMIFS('MAIN DATA, Orders'!$M:$M,'MAIN DATA, Orders'!$Q:$Q,$A13,'MAIN DATA, Orders'!$C:$C,"Germany",'MAIN DATA, Orders'!$G:$G,"Development - Naval")/1000000000)</f>
        <v>0</v>
      </c>
      <c r="AE13" s="61">
        <f>(SUMIFS('MAIN DATA, Orders'!$M:$M,'MAIN DATA, Orders'!$Q:$Q,$A13,'MAIN DATA, Orders'!$C:$C,"Germany",'MAIN DATA, Orders'!$G:$G,"Other")/1000000000)</f>
        <v>0</v>
      </c>
      <c r="AF13" s="61">
        <f>(SUMIFS('MAIN DATA, Orders'!$M:$M,'MAIN DATA, Orders'!$Q:$Q,$A13,'MAIN DATA, Orders'!$C:$C,"Germany",'MAIN DATA, Orders'!$G:$G,"Development - Other")/1000000000)</f>
        <v>0</v>
      </c>
      <c r="AG13" s="61"/>
      <c r="AH13" s="61" cm="1">
        <f t="array" ref="AH13">SUM(SUMIFS('MAIN DATA, Orders'!$M:$M,'MAIN DATA, Orders'!$Q:$Q,$A13,'MAIN DATA, Orders'!$C:$C,"Germany",'MAIN DATA, Orders'!$G:$G,{"Missile (Land)","Development - Missile (Land)"})/1000000000)</f>
        <v>0</v>
      </c>
      <c r="AI13" s="61" cm="1">
        <f t="array" ref="AI13">SUM(SUMIFS('MAIN DATA, Orders'!$M:$M,'MAIN DATA, Orders'!$C:$C,"Germany",'MAIN DATA, Orders'!$G:$G,{"Missile (Air)","Development - Missile (Air)"},'MAIN DATA, Orders'!$Q:$Q,$A13)/1000000000)</f>
        <v>0</v>
      </c>
      <c r="AJ13" s="61" cm="1">
        <f t="array" ref="AJ13">SUM(SUMIFS('MAIN DATA, Orders'!$M:$M,'MAIN DATA, Orders'!$Q:$Q,$A13,'MAIN DATA, Orders'!$C:$C,"Germany",'MAIN DATA, Orders'!$G:$G,{"Missile (Naval)","Development - Missile (Naval)"})/1000000000)</f>
        <v>0</v>
      </c>
    </row>
    <row r="14" spans="1:36">
      <c r="A14" s="72">
        <v>8</v>
      </c>
      <c r="B14" s="68">
        <v>44044</v>
      </c>
      <c r="C14" s="61">
        <f>(SUMIFS('MAIN DATA, Orders'!$M:$M,'MAIN DATA, Orders'!$Q:$Q,$A14,'MAIN DATA, Orders'!$C:$C,"Germany",'MAIN DATA, Orders'!$G:$G,"Air defence system")/1000000000)</f>
        <v>0</v>
      </c>
      <c r="D14" s="61">
        <f>(SUMIFS('MAIN DATA, Orders'!$M:$M,'MAIN DATA, Orders'!$Q:$Q,$A14,'MAIN DATA, Orders'!$C:$C,"Germany",'MAIN DATA, Orders'!$G:$G,"Development - Air defence system")/1000000000)</f>
        <v>0</v>
      </c>
      <c r="E14" s="61">
        <f>(SUMIFS('MAIN DATA, Orders'!$M:$M,'MAIN DATA, Orders'!$Q:$Q,$A14,'MAIN DATA, Orders'!$C:$C,"Germany",'MAIN DATA, Orders'!$G:$G,"Aircraft")/1000000000)</f>
        <v>0</v>
      </c>
      <c r="F14" s="61">
        <f>(SUMIFS('MAIN DATA, Orders'!$M:$M,'MAIN DATA, Orders'!$Q:$Q,$A14,'MAIN DATA, Orders'!$C:$C,"Germany",'MAIN DATA, Orders'!$G:$G,"Development - Aircraft")/1000000000)</f>
        <v>0</v>
      </c>
      <c r="G14" s="61">
        <f>(SUMIFS('MAIN DATA, Orders'!$M:$M,'MAIN DATA, Orders'!$Q:$Q,$A14,'MAIN DATA, Orders'!$C:$C,"Germany",'MAIN DATA, Orders'!$G:$G,"Ammunition")/1000000000)</f>
        <v>0</v>
      </c>
      <c r="H14" s="61">
        <f>(SUMIFS('MAIN DATA, Orders'!$M:$M,'MAIN DATA, Orders'!$Q:$Q,$A14,'MAIN DATA, Orders'!$C:$C,"Germany",'MAIN DATA, Orders'!$G:$G,"Development - Ammunition")/1000000000)</f>
        <v>0</v>
      </c>
      <c r="I14" s="61">
        <f>(SUMIFS('MAIN DATA, Orders'!$M:$M,'MAIN DATA, Orders'!$Q:$Q,$A14,'MAIN DATA, Orders'!$C:$C,"Germany",'MAIN DATA, Orders'!$G:$G,"Armoured vehicle")/1000000000)</f>
        <v>0</v>
      </c>
      <c r="J14" s="61">
        <f>(SUMIFS('MAIN DATA, Orders'!$M:$M,'MAIN DATA, Orders'!$Q:$Q,$A14,'MAIN DATA, Orders'!$C:$C,"Germany",'MAIN DATA, Orders'!$G:$G,"Development - Armoured vehicle")/1000000000)</f>
        <v>0</v>
      </c>
      <c r="K14" s="61">
        <f>(SUMIFS('MAIN DATA, Orders'!$M:$M,'MAIN DATA, Orders'!$Q:$Q,$A14,'MAIN DATA, Orders'!$C:$C,"Germany",'MAIN DATA, Orders'!$G:$G,"Artillery")/1000000000)</f>
        <v>0</v>
      </c>
      <c r="L14" s="61">
        <f>(SUMIFS('MAIN DATA, Orders'!$M:$M,'MAIN DATA, Orders'!$Q:$Q,$A14,'MAIN DATA, Orders'!$C:$C,"Germany",'MAIN DATA, Orders'!$G:$G,"Development - Artillery")/1000000000)</f>
        <v>0</v>
      </c>
      <c r="M14" s="61">
        <f>(SUMIFS('MAIN DATA, Orders'!$M:$M,'MAIN DATA, Orders'!$Q:$Q,$A14,'MAIN DATA, Orders'!$C:$C,"Germany",'MAIN DATA, Orders'!$G:$G,"Drone")/1000000000)</f>
        <v>0</v>
      </c>
      <c r="N14" s="61">
        <f>(SUMIFS('MAIN DATA, Orders'!$M:$M,'MAIN DATA, Orders'!$Q:$Q,$A14,'MAIN DATA, Orders'!$C:$C,"Germany",'MAIN DATA, Orders'!$G:$G,"Development - Drone")/1000000000)</f>
        <v>0</v>
      </c>
      <c r="O14" s="61">
        <f>(SUMIFS('MAIN DATA, Orders'!$M:$M,'MAIN DATA, Orders'!$Q:$Q,$A14,'MAIN DATA, Orders'!$C:$C,"Germany",'MAIN DATA, Orders'!$G:$G,"Helicopter")/1000000000)</f>
        <v>0</v>
      </c>
      <c r="P14" s="61">
        <f>(SUMIFS('MAIN DATA, Orders'!$M:$M,'MAIN DATA, Orders'!$Q:$Q,$A14,'MAIN DATA, Orders'!$C:$C,"Germany",'MAIN DATA, Orders'!$G:$G,"Development - Helicopter")/1000000000)</f>
        <v>0</v>
      </c>
      <c r="Q14" s="61">
        <f>(SUMIFS('MAIN DATA, Orders'!$M:$M,'MAIN DATA, Orders'!$Q:$Q,$A14,'MAIN DATA, Orders'!$C:$C,"Germany",'MAIN DATA, Orders'!$G:$G,"Infantry")/1000000000)</f>
        <v>0</v>
      </c>
      <c r="R14" s="61">
        <f>(SUMIFS('MAIN DATA, Orders'!$M:$M,'MAIN DATA, Orders'!$Q:$Q,$A14,'MAIN DATA, Orders'!$C:$C,"Germany",'MAIN DATA, Orders'!$G:$G,"Development - Infantry")/1000000000)</f>
        <v>0</v>
      </c>
      <c r="S14" s="61">
        <f>(SUMIFS('MAIN DATA, Orders'!$M:$M,'MAIN DATA, Orders'!$Q:$Q,$A14,'MAIN DATA, Orders'!$C:$C,"Germany",'MAIN DATA, Orders'!$G:$G,"Tank")/1000000000)</f>
        <v>0</v>
      </c>
      <c r="T14" s="61">
        <f>(SUMIFS('MAIN DATA, Orders'!$M:$M,'MAIN DATA, Orders'!$Q:$Q,$A14,'MAIN DATA, Orders'!$C:$C,"Germany",'MAIN DATA, Orders'!$G:$G,"Development - Tank")/1000000000)</f>
        <v>0</v>
      </c>
      <c r="U14" s="61">
        <f>(SUMIFS('MAIN DATA, Orders'!$M:$M,'MAIN DATA, Orders'!$Q:$Q,$A14,'MAIN DATA, Orders'!$C:$C,"Germany",'MAIN DATA, Orders'!$G:$G,"Maintenance")/1000000000)</f>
        <v>0</v>
      </c>
      <c r="V14" s="61">
        <f>(SUMIFS('MAIN DATA, Orders'!$M:$M,'MAIN DATA, Orders'!$Q:$Q,$A14,'MAIN DATA, Orders'!$C:$C,"Germany",'MAIN DATA, Orders'!$G:$G,"Development - Maintenance")/1000000000)</f>
        <v>0</v>
      </c>
      <c r="W14" s="61">
        <f>(SUMIFS('MAIN DATA, Orders'!$M:$M,'MAIN DATA, Orders'!$Q:$Q,$A14,'MAIN DATA, Orders'!$C:$C,"Germany",'MAIN DATA, Orders'!$G:$G,"Mine")/1000000000)</f>
        <v>0</v>
      </c>
      <c r="X14" s="61">
        <f>(SUMIFS('MAIN DATA, Orders'!$M:$M,'MAIN DATA, Orders'!$Q:$Q,$A14,'MAIN DATA, Orders'!$C:$C,"Germany",'MAIN DATA, Orders'!$G:$G,"Development - Mine")/1000000000)</f>
        <v>0</v>
      </c>
      <c r="Y14" s="61">
        <f>(SUMIFS('MAIN DATA, Orders'!$M:$M,'MAIN DATA, Orders'!$Q:$Q,$A14,'MAIN DATA, Orders'!$C:$C,"Germany",'MAIN DATA, Orders'!$H:$H,"6")/1000000000)</f>
        <v>0</v>
      </c>
      <c r="Z14" s="61" cm="1">
        <f t="array" ref="Z14">SUM(SUMIFS('MAIN DATA, Orders'!$M:$M,'MAIN DATA, Orders'!$Q:$Q,$A14,'MAIN DATA, Orders'!$C:$C,"Germany",'MAIN DATA, Orders'!$G:$G,{"Development - Missile (Land)","Development - Missile (Naval)","Development - Missile (Air)"})/1000000000)</f>
        <v>0</v>
      </c>
      <c r="AA14" s="61">
        <f>(SUMIFS('MAIN DATA, Orders'!$M:$M,'MAIN DATA, Orders'!$Q:$Q,$A14,'MAIN DATA, Orders'!$C:$C,"Germany",'MAIN DATA, Orders'!$G:$G,"Modernisation")/1000000000)</f>
        <v>0.35</v>
      </c>
      <c r="AB14" s="61">
        <f>(SUMIFS('MAIN DATA, Orders'!$M:$M,'MAIN DATA, Orders'!$Q:$Q,$A14,'MAIN DATA, Orders'!$C:$C,"Germany",'MAIN DATA, Orders'!$G:$G,"Development - Modernisation")/1000000000)</f>
        <v>0</v>
      </c>
      <c r="AC14" s="61">
        <f>(SUMIFS('MAIN DATA, Orders'!$M:$M,'MAIN DATA, Orders'!$Q:$Q,$A14,'MAIN DATA, Orders'!$C:$C,"Germany",'MAIN DATA, Orders'!$G:$G,"Naval")/1000000000)</f>
        <v>0</v>
      </c>
      <c r="AD14" s="61">
        <f>(SUMIFS('MAIN DATA, Orders'!$M:$M,'MAIN DATA, Orders'!$Q:$Q,$A14,'MAIN DATA, Orders'!$C:$C,"Germany",'MAIN DATA, Orders'!$G:$G,"Development - Naval")/1000000000)</f>
        <v>0</v>
      </c>
      <c r="AE14" s="61">
        <f>(SUMIFS('MAIN DATA, Orders'!$M:$M,'MAIN DATA, Orders'!$Q:$Q,$A14,'MAIN DATA, Orders'!$C:$C,"Germany",'MAIN DATA, Orders'!$G:$G,"Other")/1000000000)</f>
        <v>0</v>
      </c>
      <c r="AF14" s="61">
        <f>(SUMIFS('MAIN DATA, Orders'!$M:$M,'MAIN DATA, Orders'!$Q:$Q,$A14,'MAIN DATA, Orders'!$C:$C,"Germany",'MAIN DATA, Orders'!$G:$G,"Development - Other")/1000000000)</f>
        <v>0</v>
      </c>
      <c r="AG14" s="61"/>
      <c r="AH14" s="61" cm="1">
        <f t="array" ref="AH14">SUM(SUMIFS('MAIN DATA, Orders'!$M:$M,'MAIN DATA, Orders'!$Q:$Q,$A14,'MAIN DATA, Orders'!$C:$C,"Germany",'MAIN DATA, Orders'!$G:$G,{"Missile (Land)","Development - Missile (Land)"})/1000000000)</f>
        <v>0</v>
      </c>
      <c r="AI14" s="61" cm="1">
        <f t="array" ref="AI14">SUM(SUMIFS('MAIN DATA, Orders'!$M:$M,'MAIN DATA, Orders'!$C:$C,"Germany",'MAIN DATA, Orders'!$G:$G,{"Missile (Air)","Development - Missile (Air)"},'MAIN DATA, Orders'!$Q:$Q,$A14)/1000000000)</f>
        <v>0</v>
      </c>
      <c r="AJ14" s="61" cm="1">
        <f t="array" ref="AJ14">SUM(SUMIFS('MAIN DATA, Orders'!$M:$M,'MAIN DATA, Orders'!$Q:$Q,$A14,'MAIN DATA, Orders'!$C:$C,"Germany",'MAIN DATA, Orders'!$G:$G,{"Missile (Naval)","Development - Missile (Naval)"})/1000000000)</f>
        <v>0</v>
      </c>
    </row>
    <row r="15" spans="1:36">
      <c r="A15" s="72">
        <v>9</v>
      </c>
      <c r="B15" s="68">
        <v>44075</v>
      </c>
      <c r="C15" s="61">
        <f>(SUMIFS('MAIN DATA, Orders'!$M:$M,'MAIN DATA, Orders'!$Q:$Q,$A15,'MAIN DATA, Orders'!$C:$C,"Germany",'MAIN DATA, Orders'!$G:$G,"Air defence system")/1000000000)</f>
        <v>0</v>
      </c>
      <c r="D15" s="61">
        <f>(SUMIFS('MAIN DATA, Orders'!$M:$M,'MAIN DATA, Orders'!$Q:$Q,$A15,'MAIN DATA, Orders'!$C:$C,"Germany",'MAIN DATA, Orders'!$G:$G,"Development - Air defence system")/1000000000)</f>
        <v>0</v>
      </c>
      <c r="E15" s="61">
        <f>(SUMIFS('MAIN DATA, Orders'!$M:$M,'MAIN DATA, Orders'!$Q:$Q,$A15,'MAIN DATA, Orders'!$C:$C,"Germany",'MAIN DATA, Orders'!$G:$G,"Aircraft")/1000000000)</f>
        <v>0.21299999999999999</v>
      </c>
      <c r="F15" s="61">
        <f>(SUMIFS('MAIN DATA, Orders'!$M:$M,'MAIN DATA, Orders'!$Q:$Q,$A15,'MAIN DATA, Orders'!$C:$C,"Germany",'MAIN DATA, Orders'!$G:$G,"Development - Aircraft")/1000000000)</f>
        <v>0</v>
      </c>
      <c r="G15" s="61">
        <f>(SUMIFS('MAIN DATA, Orders'!$M:$M,'MAIN DATA, Orders'!$Q:$Q,$A15,'MAIN DATA, Orders'!$C:$C,"Germany",'MAIN DATA, Orders'!$G:$G,"Ammunition")/1000000000)</f>
        <v>0</v>
      </c>
      <c r="H15" s="61">
        <f>(SUMIFS('MAIN DATA, Orders'!$M:$M,'MAIN DATA, Orders'!$Q:$Q,$A15,'MAIN DATA, Orders'!$C:$C,"Germany",'MAIN DATA, Orders'!$G:$G,"Development - Ammunition")/1000000000)</f>
        <v>0</v>
      </c>
      <c r="I15" s="61">
        <f>(SUMIFS('MAIN DATA, Orders'!$M:$M,'MAIN DATA, Orders'!$Q:$Q,$A15,'MAIN DATA, Orders'!$C:$C,"Germany",'MAIN DATA, Orders'!$G:$G,"Armoured vehicle")/1000000000)</f>
        <v>0</v>
      </c>
      <c r="J15" s="61">
        <f>(SUMIFS('MAIN DATA, Orders'!$M:$M,'MAIN DATA, Orders'!$Q:$Q,$A15,'MAIN DATA, Orders'!$C:$C,"Germany",'MAIN DATA, Orders'!$G:$G,"Development - Armoured vehicle")/1000000000)</f>
        <v>0</v>
      </c>
      <c r="K15" s="61">
        <f>(SUMIFS('MAIN DATA, Orders'!$M:$M,'MAIN DATA, Orders'!$Q:$Q,$A15,'MAIN DATA, Orders'!$C:$C,"Germany",'MAIN DATA, Orders'!$G:$G,"Artillery")/1000000000)</f>
        <v>0</v>
      </c>
      <c r="L15" s="61">
        <f>(SUMIFS('MAIN DATA, Orders'!$M:$M,'MAIN DATA, Orders'!$Q:$Q,$A15,'MAIN DATA, Orders'!$C:$C,"Germany",'MAIN DATA, Orders'!$G:$G,"Development - Artillery")/1000000000)</f>
        <v>0</v>
      </c>
      <c r="M15" s="61">
        <f>(SUMIFS('MAIN DATA, Orders'!$M:$M,'MAIN DATA, Orders'!$Q:$Q,$A15,'MAIN DATA, Orders'!$C:$C,"Germany",'MAIN DATA, Orders'!$G:$G,"Drone")/1000000000)</f>
        <v>0</v>
      </c>
      <c r="N15" s="61">
        <f>(SUMIFS('MAIN DATA, Orders'!$M:$M,'MAIN DATA, Orders'!$Q:$Q,$A15,'MAIN DATA, Orders'!$C:$C,"Germany",'MAIN DATA, Orders'!$G:$G,"Development - Drone")/1000000000)</f>
        <v>0</v>
      </c>
      <c r="O15" s="61">
        <f>(SUMIFS('MAIN DATA, Orders'!$M:$M,'MAIN DATA, Orders'!$Q:$Q,$A15,'MAIN DATA, Orders'!$C:$C,"Germany",'MAIN DATA, Orders'!$G:$G,"Helicopter")/1000000000)</f>
        <v>0</v>
      </c>
      <c r="P15" s="61">
        <f>(SUMIFS('MAIN DATA, Orders'!$M:$M,'MAIN DATA, Orders'!$Q:$Q,$A15,'MAIN DATA, Orders'!$C:$C,"Germany",'MAIN DATA, Orders'!$G:$G,"Development - Helicopter")/1000000000)</f>
        <v>0</v>
      </c>
      <c r="Q15" s="61">
        <f>(SUMIFS('MAIN DATA, Orders'!$M:$M,'MAIN DATA, Orders'!$Q:$Q,$A15,'MAIN DATA, Orders'!$C:$C,"Germany",'MAIN DATA, Orders'!$G:$G,"Infantry")/1000000000)</f>
        <v>0</v>
      </c>
      <c r="R15" s="61">
        <f>(SUMIFS('MAIN DATA, Orders'!$M:$M,'MAIN DATA, Orders'!$Q:$Q,$A15,'MAIN DATA, Orders'!$C:$C,"Germany",'MAIN DATA, Orders'!$G:$G,"Development - Infantry")/1000000000)</f>
        <v>0</v>
      </c>
      <c r="S15" s="61">
        <f>(SUMIFS('MAIN DATA, Orders'!$M:$M,'MAIN DATA, Orders'!$Q:$Q,$A15,'MAIN DATA, Orders'!$C:$C,"Germany",'MAIN DATA, Orders'!$G:$G,"Tank")/1000000000)</f>
        <v>0</v>
      </c>
      <c r="T15" s="61">
        <f>(SUMIFS('MAIN DATA, Orders'!$M:$M,'MAIN DATA, Orders'!$Q:$Q,$A15,'MAIN DATA, Orders'!$C:$C,"Germany",'MAIN DATA, Orders'!$G:$G,"Development - Tank")/1000000000)</f>
        <v>0</v>
      </c>
      <c r="U15" s="61">
        <f>(SUMIFS('MAIN DATA, Orders'!$M:$M,'MAIN DATA, Orders'!$Q:$Q,$A15,'MAIN DATA, Orders'!$C:$C,"Germany",'MAIN DATA, Orders'!$G:$G,"Maintenance")/1000000000)</f>
        <v>0</v>
      </c>
      <c r="V15" s="61">
        <f>(SUMIFS('MAIN DATA, Orders'!$M:$M,'MAIN DATA, Orders'!$Q:$Q,$A15,'MAIN DATA, Orders'!$C:$C,"Germany",'MAIN DATA, Orders'!$G:$G,"Development - Maintenance")/1000000000)</f>
        <v>0</v>
      </c>
      <c r="W15" s="61">
        <f>(SUMIFS('MAIN DATA, Orders'!$M:$M,'MAIN DATA, Orders'!$Q:$Q,$A15,'MAIN DATA, Orders'!$C:$C,"Germany",'MAIN DATA, Orders'!$G:$G,"Mine")/1000000000)</f>
        <v>0</v>
      </c>
      <c r="X15" s="61">
        <f>(SUMIFS('MAIN DATA, Orders'!$M:$M,'MAIN DATA, Orders'!$Q:$Q,$A15,'MAIN DATA, Orders'!$C:$C,"Germany",'MAIN DATA, Orders'!$G:$G,"Development - Mine")/1000000000)</f>
        <v>0</v>
      </c>
      <c r="Y15" s="61">
        <f>(SUMIFS('MAIN DATA, Orders'!$M:$M,'MAIN DATA, Orders'!$Q:$Q,$A15,'MAIN DATA, Orders'!$C:$C,"Germany",'MAIN DATA, Orders'!$H:$H,"6")/1000000000)</f>
        <v>0.29099999999999998</v>
      </c>
      <c r="Z15" s="61" cm="1">
        <f t="array" ref="Z15">SUM(SUMIFS('MAIN DATA, Orders'!$M:$M,'MAIN DATA, Orders'!$Q:$Q,$A15,'MAIN DATA, Orders'!$C:$C,"Germany",'MAIN DATA, Orders'!$G:$G,{"Development - Missile (Land)","Development - Missile (Naval)","Development - Missile (Air)"})/1000000000)</f>
        <v>0</v>
      </c>
      <c r="AA15" s="61">
        <f>(SUMIFS('MAIN DATA, Orders'!$M:$M,'MAIN DATA, Orders'!$Q:$Q,$A15,'MAIN DATA, Orders'!$C:$C,"Germany",'MAIN DATA, Orders'!$G:$G,"Modernisation")/1000000000)</f>
        <v>1.88</v>
      </c>
      <c r="AB15" s="61">
        <f>(SUMIFS('MAIN DATA, Orders'!$M:$M,'MAIN DATA, Orders'!$Q:$Q,$A15,'MAIN DATA, Orders'!$C:$C,"Germany",'MAIN DATA, Orders'!$G:$G,"Development - Modernisation")/1000000000)</f>
        <v>0</v>
      </c>
      <c r="AC15" s="61">
        <f>(SUMIFS('MAIN DATA, Orders'!$M:$M,'MAIN DATA, Orders'!$Q:$Q,$A15,'MAIN DATA, Orders'!$C:$C,"Germany",'MAIN DATA, Orders'!$G:$G,"Naval")/1000000000)</f>
        <v>0</v>
      </c>
      <c r="AD15" s="61">
        <f>(SUMIFS('MAIN DATA, Orders'!$M:$M,'MAIN DATA, Orders'!$Q:$Q,$A15,'MAIN DATA, Orders'!$C:$C,"Germany",'MAIN DATA, Orders'!$G:$G,"Development - Naval")/1000000000)</f>
        <v>0</v>
      </c>
      <c r="AE15" s="61">
        <f>(SUMIFS('MAIN DATA, Orders'!$M:$M,'MAIN DATA, Orders'!$Q:$Q,$A15,'MAIN DATA, Orders'!$C:$C,"Germany",'MAIN DATA, Orders'!$G:$G,"Other")/1000000000)</f>
        <v>0</v>
      </c>
      <c r="AF15" s="61">
        <f>(SUMIFS('MAIN DATA, Orders'!$M:$M,'MAIN DATA, Orders'!$Q:$Q,$A15,'MAIN DATA, Orders'!$C:$C,"Germany",'MAIN DATA, Orders'!$G:$G,"Development - Other")/1000000000)</f>
        <v>0</v>
      </c>
      <c r="AG15" s="61"/>
      <c r="AH15" s="61" cm="1">
        <f t="array" ref="AH15">SUM(SUMIFS('MAIN DATA, Orders'!$M:$M,'MAIN DATA, Orders'!$Q:$Q,$A15,'MAIN DATA, Orders'!$C:$C,"Germany",'MAIN DATA, Orders'!$G:$G,{"Missile (Land)","Development - Missile (Land)"})/1000000000)</f>
        <v>0</v>
      </c>
      <c r="AI15" s="61" cm="1">
        <f t="array" ref="AI15">SUM(SUMIFS('MAIN DATA, Orders'!$M:$M,'MAIN DATA, Orders'!$C:$C,"Germany",'MAIN DATA, Orders'!$G:$G,{"Missile (Air)","Development - Missile (Air)"},'MAIN DATA, Orders'!$Q:$Q,$A15)/1000000000)</f>
        <v>0</v>
      </c>
      <c r="AJ15" s="61" cm="1">
        <f t="array" ref="AJ15">SUM(SUMIFS('MAIN DATA, Orders'!$M:$M,'MAIN DATA, Orders'!$Q:$Q,$A15,'MAIN DATA, Orders'!$C:$C,"Germany",'MAIN DATA, Orders'!$G:$G,{"Missile (Naval)","Development - Missile (Naval)"})/1000000000)</f>
        <v>0.29099999999999998</v>
      </c>
    </row>
    <row r="16" spans="1:36">
      <c r="A16" s="72">
        <v>10</v>
      </c>
      <c r="B16" s="68">
        <v>44105</v>
      </c>
      <c r="C16" s="61">
        <f>(SUMIFS('MAIN DATA, Orders'!$M:$M,'MAIN DATA, Orders'!$Q:$Q,$A16,'MAIN DATA, Orders'!$C:$C,"Germany",'MAIN DATA, Orders'!$G:$G,"Air defence system")/1000000000)</f>
        <v>0</v>
      </c>
      <c r="D16" s="61">
        <f>(SUMIFS('MAIN DATA, Orders'!$M:$M,'MAIN DATA, Orders'!$Q:$Q,$A16,'MAIN DATA, Orders'!$C:$C,"Germany",'MAIN DATA, Orders'!$G:$G,"Development - Air defence system")/1000000000)</f>
        <v>0</v>
      </c>
      <c r="E16" s="61">
        <f>(SUMIFS('MAIN DATA, Orders'!$M:$M,'MAIN DATA, Orders'!$Q:$Q,$A16,'MAIN DATA, Orders'!$C:$C,"Germany",'MAIN DATA, Orders'!$G:$G,"Aircraft")/1000000000)</f>
        <v>0</v>
      </c>
      <c r="F16" s="61">
        <f>(SUMIFS('MAIN DATA, Orders'!$M:$M,'MAIN DATA, Orders'!$Q:$Q,$A16,'MAIN DATA, Orders'!$C:$C,"Germany",'MAIN DATA, Orders'!$G:$G,"Development - Aircraft")/1000000000)</f>
        <v>0</v>
      </c>
      <c r="G16" s="61">
        <f>(SUMIFS('MAIN DATA, Orders'!$M:$M,'MAIN DATA, Orders'!$Q:$Q,$A16,'MAIN DATA, Orders'!$C:$C,"Germany",'MAIN DATA, Orders'!$G:$G,"Ammunition")/1000000000)</f>
        <v>0</v>
      </c>
      <c r="H16" s="61">
        <f>(SUMIFS('MAIN DATA, Orders'!$M:$M,'MAIN DATA, Orders'!$Q:$Q,$A16,'MAIN DATA, Orders'!$C:$C,"Germany",'MAIN DATA, Orders'!$G:$G,"Development - Ammunition")/1000000000)</f>
        <v>0</v>
      </c>
      <c r="I16" s="61">
        <f>(SUMIFS('MAIN DATA, Orders'!$M:$M,'MAIN DATA, Orders'!$Q:$Q,$A16,'MAIN DATA, Orders'!$C:$C,"Germany",'MAIN DATA, Orders'!$G:$G,"Armoured vehicle")/1000000000)</f>
        <v>0</v>
      </c>
      <c r="J16" s="61">
        <f>(SUMIFS('MAIN DATA, Orders'!$M:$M,'MAIN DATA, Orders'!$Q:$Q,$A16,'MAIN DATA, Orders'!$C:$C,"Germany",'MAIN DATA, Orders'!$G:$G,"Development - Armoured vehicle")/1000000000)</f>
        <v>0</v>
      </c>
      <c r="K16" s="61">
        <f>(SUMIFS('MAIN DATA, Orders'!$M:$M,'MAIN DATA, Orders'!$Q:$Q,$A16,'MAIN DATA, Orders'!$C:$C,"Germany",'MAIN DATA, Orders'!$G:$G,"Artillery")/1000000000)</f>
        <v>0</v>
      </c>
      <c r="L16" s="61">
        <f>(SUMIFS('MAIN DATA, Orders'!$M:$M,'MAIN DATA, Orders'!$Q:$Q,$A16,'MAIN DATA, Orders'!$C:$C,"Germany",'MAIN DATA, Orders'!$G:$G,"Development - Artillery")/1000000000)</f>
        <v>0</v>
      </c>
      <c r="M16" s="61">
        <f>(SUMIFS('MAIN DATA, Orders'!$M:$M,'MAIN DATA, Orders'!$Q:$Q,$A16,'MAIN DATA, Orders'!$C:$C,"Germany",'MAIN DATA, Orders'!$G:$G,"Drone")/1000000000)</f>
        <v>0</v>
      </c>
      <c r="N16" s="61">
        <f>(SUMIFS('MAIN DATA, Orders'!$M:$M,'MAIN DATA, Orders'!$Q:$Q,$A16,'MAIN DATA, Orders'!$C:$C,"Germany",'MAIN DATA, Orders'!$G:$G,"Development - Drone")/1000000000)</f>
        <v>0</v>
      </c>
      <c r="O16" s="61">
        <f>(SUMIFS('MAIN DATA, Orders'!$M:$M,'MAIN DATA, Orders'!$Q:$Q,$A16,'MAIN DATA, Orders'!$C:$C,"Germany",'MAIN DATA, Orders'!$G:$G,"Helicopter")/1000000000)</f>
        <v>0</v>
      </c>
      <c r="P16" s="61">
        <f>(SUMIFS('MAIN DATA, Orders'!$M:$M,'MAIN DATA, Orders'!$Q:$Q,$A16,'MAIN DATA, Orders'!$C:$C,"Germany",'MAIN DATA, Orders'!$G:$G,"Development - Helicopter")/1000000000)</f>
        <v>0</v>
      </c>
      <c r="Q16" s="61">
        <f>(SUMIFS('MAIN DATA, Orders'!$M:$M,'MAIN DATA, Orders'!$Q:$Q,$A16,'MAIN DATA, Orders'!$C:$C,"Germany",'MAIN DATA, Orders'!$G:$G,"Infantry")/1000000000)</f>
        <v>0</v>
      </c>
      <c r="R16" s="61">
        <f>(SUMIFS('MAIN DATA, Orders'!$M:$M,'MAIN DATA, Orders'!$Q:$Q,$A16,'MAIN DATA, Orders'!$C:$C,"Germany",'MAIN DATA, Orders'!$G:$G,"Development - Infantry")/1000000000)</f>
        <v>0</v>
      </c>
      <c r="S16" s="61">
        <f>(SUMIFS('MAIN DATA, Orders'!$M:$M,'MAIN DATA, Orders'!$Q:$Q,$A16,'MAIN DATA, Orders'!$C:$C,"Germany",'MAIN DATA, Orders'!$G:$G,"Tank")/1000000000)</f>
        <v>0</v>
      </c>
      <c r="T16" s="61">
        <f>(SUMIFS('MAIN DATA, Orders'!$M:$M,'MAIN DATA, Orders'!$Q:$Q,$A16,'MAIN DATA, Orders'!$C:$C,"Germany",'MAIN DATA, Orders'!$G:$G,"Development - Tank")/1000000000)</f>
        <v>0</v>
      </c>
      <c r="U16" s="61">
        <f>(SUMIFS('MAIN DATA, Orders'!$M:$M,'MAIN DATA, Orders'!$Q:$Q,$A16,'MAIN DATA, Orders'!$C:$C,"Germany",'MAIN DATA, Orders'!$G:$G,"Maintenance")/1000000000)</f>
        <v>0</v>
      </c>
      <c r="V16" s="61">
        <f>(SUMIFS('MAIN DATA, Orders'!$M:$M,'MAIN DATA, Orders'!$Q:$Q,$A16,'MAIN DATA, Orders'!$C:$C,"Germany",'MAIN DATA, Orders'!$G:$G,"Development - Maintenance")/1000000000)</f>
        <v>0</v>
      </c>
      <c r="W16" s="61">
        <f>(SUMIFS('MAIN DATA, Orders'!$M:$M,'MAIN DATA, Orders'!$Q:$Q,$A16,'MAIN DATA, Orders'!$C:$C,"Germany",'MAIN DATA, Orders'!$G:$G,"Mine")/1000000000)</f>
        <v>0</v>
      </c>
      <c r="X16" s="61">
        <f>(SUMIFS('MAIN DATA, Orders'!$M:$M,'MAIN DATA, Orders'!$Q:$Q,$A16,'MAIN DATA, Orders'!$C:$C,"Germany",'MAIN DATA, Orders'!$G:$G,"Development - Mine")/1000000000)</f>
        <v>0</v>
      </c>
      <c r="Y16" s="61">
        <f>(SUMIFS('MAIN DATA, Orders'!$M:$M,'MAIN DATA, Orders'!$Q:$Q,$A16,'MAIN DATA, Orders'!$C:$C,"Germany",'MAIN DATA, Orders'!$H:$H,"6")/1000000000)</f>
        <v>0</v>
      </c>
      <c r="Z16" s="61" cm="1">
        <f t="array" ref="Z16">SUM(SUMIFS('MAIN DATA, Orders'!$M:$M,'MAIN DATA, Orders'!$Q:$Q,$A16,'MAIN DATA, Orders'!$C:$C,"Germany",'MAIN DATA, Orders'!$G:$G,{"Development - Missile (Land)","Development - Missile (Naval)","Development - Missile (Air)"})/1000000000)</f>
        <v>0</v>
      </c>
      <c r="AA16" s="61">
        <f>(SUMIFS('MAIN DATA, Orders'!$M:$M,'MAIN DATA, Orders'!$Q:$Q,$A16,'MAIN DATA, Orders'!$C:$C,"Germany",'MAIN DATA, Orders'!$G:$G,"Modernisation")/1000000000)</f>
        <v>0</v>
      </c>
      <c r="AB16" s="61">
        <f>(SUMIFS('MAIN DATA, Orders'!$M:$M,'MAIN DATA, Orders'!$Q:$Q,$A16,'MAIN DATA, Orders'!$C:$C,"Germany",'MAIN DATA, Orders'!$G:$G,"Development - Modernisation")/1000000000)</f>
        <v>0</v>
      </c>
      <c r="AC16" s="61">
        <f>(SUMIFS('MAIN DATA, Orders'!$M:$M,'MAIN DATA, Orders'!$Q:$Q,$A16,'MAIN DATA, Orders'!$C:$C,"Germany",'MAIN DATA, Orders'!$G:$G,"Naval")/1000000000)</f>
        <v>0</v>
      </c>
      <c r="AD16" s="61">
        <f>(SUMIFS('MAIN DATA, Orders'!$M:$M,'MAIN DATA, Orders'!$Q:$Q,$A16,'MAIN DATA, Orders'!$C:$C,"Germany",'MAIN DATA, Orders'!$G:$G,"Development - Naval")/1000000000)</f>
        <v>0</v>
      </c>
      <c r="AE16" s="61">
        <f>(SUMIFS('MAIN DATA, Orders'!$M:$M,'MAIN DATA, Orders'!$Q:$Q,$A16,'MAIN DATA, Orders'!$C:$C,"Germany",'MAIN DATA, Orders'!$G:$G,"Other")/1000000000)</f>
        <v>0.04</v>
      </c>
      <c r="AF16" s="61">
        <f>(SUMIFS('MAIN DATA, Orders'!$M:$M,'MAIN DATA, Orders'!$Q:$Q,$A16,'MAIN DATA, Orders'!$C:$C,"Germany",'MAIN DATA, Orders'!$G:$G,"Development - Other")/1000000000)</f>
        <v>0</v>
      </c>
      <c r="AG16" s="61"/>
      <c r="AH16" s="61" cm="1">
        <f t="array" ref="AH16">SUM(SUMIFS('MAIN DATA, Orders'!$M:$M,'MAIN DATA, Orders'!$Q:$Q,$A16,'MAIN DATA, Orders'!$C:$C,"Germany",'MAIN DATA, Orders'!$G:$G,{"Missile (Land)","Development - Missile (Land)"})/1000000000)</f>
        <v>0</v>
      </c>
      <c r="AI16" s="61" cm="1">
        <f t="array" ref="AI16">SUM(SUMIFS('MAIN DATA, Orders'!$M:$M,'MAIN DATA, Orders'!$C:$C,"Germany",'MAIN DATA, Orders'!$G:$G,{"Missile (Air)","Development - Missile (Air)"},'MAIN DATA, Orders'!$Q:$Q,$A16)/1000000000)</f>
        <v>0</v>
      </c>
      <c r="AJ16" s="61" cm="1">
        <f t="array" ref="AJ16">SUM(SUMIFS('MAIN DATA, Orders'!$M:$M,'MAIN DATA, Orders'!$Q:$Q,$A16,'MAIN DATA, Orders'!$C:$C,"Germany",'MAIN DATA, Orders'!$G:$G,{"Missile (Naval)","Development - Missile (Naval)"})/1000000000)</f>
        <v>0</v>
      </c>
    </row>
    <row r="17" spans="1:36">
      <c r="A17" s="72">
        <v>11</v>
      </c>
      <c r="B17" s="68">
        <v>44136</v>
      </c>
      <c r="C17" s="61">
        <f>(SUMIFS('MAIN DATA, Orders'!$M:$M,'MAIN DATA, Orders'!$Q:$Q,$A17,'MAIN DATA, Orders'!$C:$C,"Germany",'MAIN DATA, Orders'!$G:$G,"Air defence system")/1000000000)</f>
        <v>0</v>
      </c>
      <c r="D17" s="61">
        <f>(SUMIFS('MAIN DATA, Orders'!$M:$M,'MAIN DATA, Orders'!$Q:$Q,$A17,'MAIN DATA, Orders'!$C:$C,"Germany",'MAIN DATA, Orders'!$G:$G,"Development - Air defence system")/1000000000)</f>
        <v>0</v>
      </c>
      <c r="E17" s="61">
        <f>(SUMIFS('MAIN DATA, Orders'!$M:$M,'MAIN DATA, Orders'!$Q:$Q,$A17,'MAIN DATA, Orders'!$C:$C,"Germany",'MAIN DATA, Orders'!$G:$G,"Aircraft")/1000000000)</f>
        <v>5.5</v>
      </c>
      <c r="F17" s="61">
        <f>(SUMIFS('MAIN DATA, Orders'!$M:$M,'MAIN DATA, Orders'!$Q:$Q,$A17,'MAIN DATA, Orders'!$C:$C,"Germany",'MAIN DATA, Orders'!$G:$G,"Development - Aircraft")/1000000000)</f>
        <v>0</v>
      </c>
      <c r="G17" s="61">
        <f>(SUMIFS('MAIN DATA, Orders'!$M:$M,'MAIN DATA, Orders'!$Q:$Q,$A17,'MAIN DATA, Orders'!$C:$C,"Germany",'MAIN DATA, Orders'!$G:$G,"Ammunition")/1000000000)</f>
        <v>2.5999999999999999E-2</v>
      </c>
      <c r="H17" s="61">
        <f>(SUMIFS('MAIN DATA, Orders'!$M:$M,'MAIN DATA, Orders'!$Q:$Q,$A17,'MAIN DATA, Orders'!$C:$C,"Germany",'MAIN DATA, Orders'!$G:$G,"Development - Ammunition")/1000000000)</f>
        <v>0</v>
      </c>
      <c r="I17" s="61">
        <f>(SUMIFS('MAIN DATA, Orders'!$M:$M,'MAIN DATA, Orders'!$Q:$Q,$A17,'MAIN DATA, Orders'!$C:$C,"Germany",'MAIN DATA, Orders'!$G:$G,"Armoured vehicle")/1000000000)</f>
        <v>0.18</v>
      </c>
      <c r="J17" s="61">
        <f>(SUMIFS('MAIN DATA, Orders'!$M:$M,'MAIN DATA, Orders'!$Q:$Q,$A17,'MAIN DATA, Orders'!$C:$C,"Germany",'MAIN DATA, Orders'!$G:$G,"Development - Armoured vehicle")/1000000000)</f>
        <v>0</v>
      </c>
      <c r="K17" s="61">
        <f>(SUMIFS('MAIN DATA, Orders'!$M:$M,'MAIN DATA, Orders'!$Q:$Q,$A17,'MAIN DATA, Orders'!$C:$C,"Germany",'MAIN DATA, Orders'!$G:$G,"Artillery")/1000000000)</f>
        <v>0</v>
      </c>
      <c r="L17" s="61">
        <f>(SUMIFS('MAIN DATA, Orders'!$M:$M,'MAIN DATA, Orders'!$Q:$Q,$A17,'MAIN DATA, Orders'!$C:$C,"Germany",'MAIN DATA, Orders'!$G:$G,"Development - Artillery")/1000000000)</f>
        <v>0</v>
      </c>
      <c r="M17" s="61">
        <f>(SUMIFS('MAIN DATA, Orders'!$M:$M,'MAIN DATA, Orders'!$Q:$Q,$A17,'MAIN DATA, Orders'!$C:$C,"Germany",'MAIN DATA, Orders'!$G:$G,"Drone")/1000000000)</f>
        <v>0</v>
      </c>
      <c r="N17" s="61">
        <f>(SUMIFS('MAIN DATA, Orders'!$M:$M,'MAIN DATA, Orders'!$Q:$Q,$A17,'MAIN DATA, Orders'!$C:$C,"Germany",'MAIN DATA, Orders'!$G:$G,"Development - Drone")/1000000000)</f>
        <v>0</v>
      </c>
      <c r="O17" s="61">
        <f>(SUMIFS('MAIN DATA, Orders'!$M:$M,'MAIN DATA, Orders'!$Q:$Q,$A17,'MAIN DATA, Orders'!$C:$C,"Germany",'MAIN DATA, Orders'!$G:$G,"Helicopter")/1000000000)</f>
        <v>0</v>
      </c>
      <c r="P17" s="61">
        <f>(SUMIFS('MAIN DATA, Orders'!$M:$M,'MAIN DATA, Orders'!$Q:$Q,$A17,'MAIN DATA, Orders'!$C:$C,"Germany",'MAIN DATA, Orders'!$G:$G,"Development - Helicopter")/1000000000)</f>
        <v>0</v>
      </c>
      <c r="Q17" s="61">
        <f>(SUMIFS('MAIN DATA, Orders'!$M:$M,'MAIN DATA, Orders'!$Q:$Q,$A17,'MAIN DATA, Orders'!$C:$C,"Germany",'MAIN DATA, Orders'!$G:$G,"Infantry")/1000000000)</f>
        <v>0</v>
      </c>
      <c r="R17" s="61">
        <f>(SUMIFS('MAIN DATA, Orders'!$M:$M,'MAIN DATA, Orders'!$Q:$Q,$A17,'MAIN DATA, Orders'!$C:$C,"Germany",'MAIN DATA, Orders'!$G:$G,"Development - Infantry")/1000000000)</f>
        <v>0</v>
      </c>
      <c r="S17" s="61">
        <f>(SUMIFS('MAIN DATA, Orders'!$M:$M,'MAIN DATA, Orders'!$Q:$Q,$A17,'MAIN DATA, Orders'!$C:$C,"Germany",'MAIN DATA, Orders'!$G:$G,"Tank")/1000000000)</f>
        <v>0</v>
      </c>
      <c r="T17" s="61">
        <f>(SUMIFS('MAIN DATA, Orders'!$M:$M,'MAIN DATA, Orders'!$Q:$Q,$A17,'MAIN DATA, Orders'!$C:$C,"Germany",'MAIN DATA, Orders'!$G:$G,"Development - Tank")/1000000000)</f>
        <v>0</v>
      </c>
      <c r="U17" s="61">
        <f>(SUMIFS('MAIN DATA, Orders'!$M:$M,'MAIN DATA, Orders'!$Q:$Q,$A17,'MAIN DATA, Orders'!$C:$C,"Germany",'MAIN DATA, Orders'!$G:$G,"Maintenance")/1000000000)</f>
        <v>0</v>
      </c>
      <c r="V17" s="61">
        <f>(SUMIFS('MAIN DATA, Orders'!$M:$M,'MAIN DATA, Orders'!$Q:$Q,$A17,'MAIN DATA, Orders'!$C:$C,"Germany",'MAIN DATA, Orders'!$G:$G,"Development - Maintenance")/1000000000)</f>
        <v>0</v>
      </c>
      <c r="W17" s="61">
        <f>(SUMIFS('MAIN DATA, Orders'!$M:$M,'MAIN DATA, Orders'!$Q:$Q,$A17,'MAIN DATA, Orders'!$C:$C,"Germany",'MAIN DATA, Orders'!$G:$G,"Mine")/1000000000)</f>
        <v>0</v>
      </c>
      <c r="X17" s="61">
        <f>(SUMIFS('MAIN DATA, Orders'!$M:$M,'MAIN DATA, Orders'!$Q:$Q,$A17,'MAIN DATA, Orders'!$C:$C,"Germany",'MAIN DATA, Orders'!$G:$G,"Development - Mine")/1000000000)</f>
        <v>0</v>
      </c>
      <c r="Y17" s="61">
        <f>(SUMIFS('MAIN DATA, Orders'!$M:$M,'MAIN DATA, Orders'!$Q:$Q,$A17,'MAIN DATA, Orders'!$C:$C,"Germany",'MAIN DATA, Orders'!$H:$H,"6")/1000000000)</f>
        <v>0</v>
      </c>
      <c r="Z17" s="61" cm="1">
        <f t="array" ref="Z17">SUM(SUMIFS('MAIN DATA, Orders'!$M:$M,'MAIN DATA, Orders'!$Q:$Q,$A17,'MAIN DATA, Orders'!$C:$C,"Germany",'MAIN DATA, Orders'!$G:$G,{"Development - Missile (Land)","Development - Missile (Naval)","Development - Missile (Air)"})/1000000000)</f>
        <v>0</v>
      </c>
      <c r="AA17" s="61">
        <f>(SUMIFS('MAIN DATA, Orders'!$M:$M,'MAIN DATA, Orders'!$Q:$Q,$A17,'MAIN DATA, Orders'!$C:$C,"Germany",'MAIN DATA, Orders'!$G:$G,"Modernisation")/1000000000)</f>
        <v>0</v>
      </c>
      <c r="AB17" s="61">
        <f>(SUMIFS('MAIN DATA, Orders'!$M:$M,'MAIN DATA, Orders'!$Q:$Q,$A17,'MAIN DATA, Orders'!$C:$C,"Germany",'MAIN DATA, Orders'!$G:$G,"Development - Modernisation")/1000000000)</f>
        <v>0.11700000000000001</v>
      </c>
      <c r="AC17" s="61">
        <f>(SUMIFS('MAIN DATA, Orders'!$M:$M,'MAIN DATA, Orders'!$Q:$Q,$A17,'MAIN DATA, Orders'!$C:$C,"Germany",'MAIN DATA, Orders'!$G:$G,"Naval")/1000000000)</f>
        <v>2.7309999999999999</v>
      </c>
      <c r="AD17" s="61">
        <f>(SUMIFS('MAIN DATA, Orders'!$M:$M,'MAIN DATA, Orders'!$Q:$Q,$A17,'MAIN DATA, Orders'!$C:$C,"Germany",'MAIN DATA, Orders'!$G:$G,"Development - Naval")/1000000000)</f>
        <v>0</v>
      </c>
      <c r="AE17" s="61">
        <f>(SUMIFS('MAIN DATA, Orders'!$M:$M,'MAIN DATA, Orders'!$Q:$Q,$A17,'MAIN DATA, Orders'!$C:$C,"Germany",'MAIN DATA, Orders'!$G:$G,"Other")/1000000000)</f>
        <v>0.63200000000000001</v>
      </c>
      <c r="AF17" s="61">
        <f>(SUMIFS('MAIN DATA, Orders'!$M:$M,'MAIN DATA, Orders'!$Q:$Q,$A17,'MAIN DATA, Orders'!$C:$C,"Germany",'MAIN DATA, Orders'!$G:$G,"Development - Other")/1000000000)</f>
        <v>0</v>
      </c>
      <c r="AG17" s="61"/>
      <c r="AH17" s="61" cm="1">
        <f t="array" ref="AH17">SUM(SUMIFS('MAIN DATA, Orders'!$M:$M,'MAIN DATA, Orders'!$Q:$Q,$A17,'MAIN DATA, Orders'!$C:$C,"Germany",'MAIN DATA, Orders'!$G:$G,{"Missile (Land)","Development - Missile (Land)"})/1000000000)</f>
        <v>0</v>
      </c>
      <c r="AI17" s="61" cm="1">
        <f t="array" ref="AI17">SUM(SUMIFS('MAIN DATA, Orders'!$M:$M,'MAIN DATA, Orders'!$C:$C,"Germany",'MAIN DATA, Orders'!$G:$G,{"Missile (Air)","Development - Missile (Air)"},'MAIN DATA, Orders'!$Q:$Q,$A17)/1000000000)</f>
        <v>0</v>
      </c>
      <c r="AJ17" s="61" cm="1">
        <f t="array" ref="AJ17">SUM(SUMIFS('MAIN DATA, Orders'!$M:$M,'MAIN DATA, Orders'!$Q:$Q,$A17,'MAIN DATA, Orders'!$C:$C,"Germany",'MAIN DATA, Orders'!$G:$G,{"Missile (Naval)","Development - Missile (Naval)"})/1000000000)</f>
        <v>0</v>
      </c>
    </row>
    <row r="18" spans="1:36">
      <c r="A18" s="72">
        <v>12</v>
      </c>
      <c r="B18" s="68">
        <v>44166</v>
      </c>
      <c r="C18" s="61">
        <f>(SUMIFS('MAIN DATA, Orders'!$M:$M,'MAIN DATA, Orders'!$Q:$Q,$A18,'MAIN DATA, Orders'!$C:$C,"Germany",'MAIN DATA, Orders'!$G:$G,"Air defence system")/1000000000)</f>
        <v>0</v>
      </c>
      <c r="D18" s="61">
        <f>(SUMIFS('MAIN DATA, Orders'!$M:$M,'MAIN DATA, Orders'!$Q:$Q,$A18,'MAIN DATA, Orders'!$C:$C,"Germany",'MAIN DATA, Orders'!$G:$G,"Development - Air defence system")/1000000000)</f>
        <v>0</v>
      </c>
      <c r="E18" s="61">
        <f>(SUMIFS('MAIN DATA, Orders'!$M:$M,'MAIN DATA, Orders'!$Q:$Q,$A18,'MAIN DATA, Orders'!$C:$C,"Germany",'MAIN DATA, Orders'!$G:$G,"Aircraft")/1000000000)</f>
        <v>0</v>
      </c>
      <c r="F18" s="61">
        <f>(SUMIFS('MAIN DATA, Orders'!$M:$M,'MAIN DATA, Orders'!$Q:$Q,$A18,'MAIN DATA, Orders'!$C:$C,"Germany",'MAIN DATA, Orders'!$G:$G,"Development - Aircraft")/1000000000)</f>
        <v>0</v>
      </c>
      <c r="G18" s="61">
        <f>(SUMIFS('MAIN DATA, Orders'!$M:$M,'MAIN DATA, Orders'!$Q:$Q,$A18,'MAIN DATA, Orders'!$C:$C,"Germany",'MAIN DATA, Orders'!$G:$G,"Ammunition")/1000000000)</f>
        <v>0</v>
      </c>
      <c r="H18" s="61">
        <f>(SUMIFS('MAIN DATA, Orders'!$M:$M,'MAIN DATA, Orders'!$Q:$Q,$A18,'MAIN DATA, Orders'!$C:$C,"Germany",'MAIN DATA, Orders'!$G:$G,"Development - Ammunition")/1000000000)</f>
        <v>0</v>
      </c>
      <c r="I18" s="61">
        <f>(SUMIFS('MAIN DATA, Orders'!$M:$M,'MAIN DATA, Orders'!$Q:$Q,$A18,'MAIN DATA, Orders'!$C:$C,"Germany",'MAIN DATA, Orders'!$G:$G,"Armoured vehicle")/1000000000)</f>
        <v>0</v>
      </c>
      <c r="J18" s="61">
        <f>(SUMIFS('MAIN DATA, Orders'!$M:$M,'MAIN DATA, Orders'!$Q:$Q,$A18,'MAIN DATA, Orders'!$C:$C,"Germany",'MAIN DATA, Orders'!$G:$G,"Development - Armoured vehicle")/1000000000)</f>
        <v>0</v>
      </c>
      <c r="K18" s="61">
        <f>(SUMIFS('MAIN DATA, Orders'!$M:$M,'MAIN DATA, Orders'!$Q:$Q,$A18,'MAIN DATA, Orders'!$C:$C,"Germany",'MAIN DATA, Orders'!$G:$G,"Artillery")/1000000000)</f>
        <v>0</v>
      </c>
      <c r="L18" s="61">
        <f>(SUMIFS('MAIN DATA, Orders'!$M:$M,'MAIN DATA, Orders'!$Q:$Q,$A18,'MAIN DATA, Orders'!$C:$C,"Germany",'MAIN DATA, Orders'!$G:$G,"Development - Artillery")/1000000000)</f>
        <v>0</v>
      </c>
      <c r="M18" s="61">
        <f>(SUMIFS('MAIN DATA, Orders'!$M:$M,'MAIN DATA, Orders'!$Q:$Q,$A18,'MAIN DATA, Orders'!$C:$C,"Germany",'MAIN DATA, Orders'!$G:$G,"Drone")/1000000000)</f>
        <v>0</v>
      </c>
      <c r="N18" s="61">
        <f>(SUMIFS('MAIN DATA, Orders'!$M:$M,'MAIN DATA, Orders'!$Q:$Q,$A18,'MAIN DATA, Orders'!$C:$C,"Germany",'MAIN DATA, Orders'!$G:$G,"Development - Drone")/1000000000)</f>
        <v>0</v>
      </c>
      <c r="O18" s="61">
        <f>(SUMIFS('MAIN DATA, Orders'!$M:$M,'MAIN DATA, Orders'!$Q:$Q,$A18,'MAIN DATA, Orders'!$C:$C,"Germany",'MAIN DATA, Orders'!$G:$G,"Helicopter")/1000000000)</f>
        <v>0</v>
      </c>
      <c r="P18" s="61">
        <f>(SUMIFS('MAIN DATA, Orders'!$M:$M,'MAIN DATA, Orders'!$Q:$Q,$A18,'MAIN DATA, Orders'!$C:$C,"Germany",'MAIN DATA, Orders'!$G:$G,"Development - Helicopter")/1000000000)</f>
        <v>0</v>
      </c>
      <c r="Q18" s="61">
        <f>(SUMIFS('MAIN DATA, Orders'!$M:$M,'MAIN DATA, Orders'!$Q:$Q,$A18,'MAIN DATA, Orders'!$C:$C,"Germany",'MAIN DATA, Orders'!$G:$G,"Infantry")/1000000000)</f>
        <v>0</v>
      </c>
      <c r="R18" s="61">
        <f>(SUMIFS('MAIN DATA, Orders'!$M:$M,'MAIN DATA, Orders'!$Q:$Q,$A18,'MAIN DATA, Orders'!$C:$C,"Germany",'MAIN DATA, Orders'!$G:$G,"Development - Infantry")/1000000000)</f>
        <v>0</v>
      </c>
      <c r="S18" s="61">
        <f>(SUMIFS('MAIN DATA, Orders'!$M:$M,'MAIN DATA, Orders'!$Q:$Q,$A18,'MAIN DATA, Orders'!$C:$C,"Germany",'MAIN DATA, Orders'!$G:$G,"Tank")/1000000000)</f>
        <v>0</v>
      </c>
      <c r="T18" s="61">
        <f>(SUMIFS('MAIN DATA, Orders'!$M:$M,'MAIN DATA, Orders'!$Q:$Q,$A18,'MAIN DATA, Orders'!$C:$C,"Germany",'MAIN DATA, Orders'!$G:$G,"Development - Tank")/1000000000)</f>
        <v>0</v>
      </c>
      <c r="U18" s="61">
        <f>(SUMIFS('MAIN DATA, Orders'!$M:$M,'MAIN DATA, Orders'!$Q:$Q,$A18,'MAIN DATA, Orders'!$C:$C,"Germany",'MAIN DATA, Orders'!$G:$G,"Maintenance")/1000000000)</f>
        <v>0</v>
      </c>
      <c r="V18" s="61">
        <f>(SUMIFS('MAIN DATA, Orders'!$M:$M,'MAIN DATA, Orders'!$Q:$Q,$A18,'MAIN DATA, Orders'!$C:$C,"Germany",'MAIN DATA, Orders'!$G:$G,"Development - Maintenance")/1000000000)</f>
        <v>0</v>
      </c>
      <c r="W18" s="61">
        <f>(SUMIFS('MAIN DATA, Orders'!$M:$M,'MAIN DATA, Orders'!$Q:$Q,$A18,'MAIN DATA, Orders'!$C:$C,"Germany",'MAIN DATA, Orders'!$G:$G,"Mine")/1000000000)</f>
        <v>0</v>
      </c>
      <c r="X18" s="61">
        <f>(SUMIFS('MAIN DATA, Orders'!$M:$M,'MAIN DATA, Orders'!$Q:$Q,$A18,'MAIN DATA, Orders'!$C:$C,"Germany",'MAIN DATA, Orders'!$G:$G,"Development - Mine")/1000000000)</f>
        <v>0</v>
      </c>
      <c r="Y18" s="61">
        <f>(SUMIFS('MAIN DATA, Orders'!$M:$M,'MAIN DATA, Orders'!$Q:$Q,$A18,'MAIN DATA, Orders'!$C:$C,"Germany",'MAIN DATA, Orders'!$H:$H,"6")/1000000000)</f>
        <v>0</v>
      </c>
      <c r="Z18" s="61" cm="1">
        <f t="array" ref="Z18">SUM(SUMIFS('MAIN DATA, Orders'!$M:$M,'MAIN DATA, Orders'!$Q:$Q,$A18,'MAIN DATA, Orders'!$C:$C,"Germany",'MAIN DATA, Orders'!$G:$G,{"Development - Missile (Land)","Development - Missile (Naval)","Development - Missile (Air)"})/1000000000)</f>
        <v>0</v>
      </c>
      <c r="AA18" s="61">
        <f>(SUMIFS('MAIN DATA, Orders'!$M:$M,'MAIN DATA, Orders'!$Q:$Q,$A18,'MAIN DATA, Orders'!$C:$C,"Germany",'MAIN DATA, Orders'!$G:$G,"Modernisation")/1000000000)</f>
        <v>0</v>
      </c>
      <c r="AB18" s="61">
        <f>(SUMIFS('MAIN DATA, Orders'!$M:$M,'MAIN DATA, Orders'!$Q:$Q,$A18,'MAIN DATA, Orders'!$C:$C,"Germany",'MAIN DATA, Orders'!$G:$G,"Development - Modernisation")/1000000000)</f>
        <v>0</v>
      </c>
      <c r="AC18" s="61">
        <f>(SUMIFS('MAIN DATA, Orders'!$M:$M,'MAIN DATA, Orders'!$Q:$Q,$A18,'MAIN DATA, Orders'!$C:$C,"Germany",'MAIN DATA, Orders'!$G:$G,"Naval")/1000000000)</f>
        <v>0</v>
      </c>
      <c r="AD18" s="61">
        <f>(SUMIFS('MAIN DATA, Orders'!$M:$M,'MAIN DATA, Orders'!$Q:$Q,$A18,'MAIN DATA, Orders'!$C:$C,"Germany",'MAIN DATA, Orders'!$G:$G,"Development - Naval")/1000000000)</f>
        <v>0</v>
      </c>
      <c r="AE18" s="61">
        <f>(SUMIFS('MAIN DATA, Orders'!$M:$M,'MAIN DATA, Orders'!$Q:$Q,$A18,'MAIN DATA, Orders'!$C:$C,"Germany",'MAIN DATA, Orders'!$G:$G,"Other")/1000000000)</f>
        <v>0.45</v>
      </c>
      <c r="AF18" s="61">
        <f>(SUMIFS('MAIN DATA, Orders'!$M:$M,'MAIN DATA, Orders'!$Q:$Q,$A18,'MAIN DATA, Orders'!$C:$C,"Germany",'MAIN DATA, Orders'!$G:$G,"Development - Other")/1000000000)</f>
        <v>0</v>
      </c>
      <c r="AG18" s="61"/>
      <c r="AH18" s="61" cm="1">
        <f t="array" ref="AH18">SUM(SUMIFS('MAIN DATA, Orders'!$M:$M,'MAIN DATA, Orders'!$Q:$Q,$A18,'MAIN DATA, Orders'!$C:$C,"Germany",'MAIN DATA, Orders'!$G:$G,{"Missile (Land)","Development - Missile (Land)"})/1000000000)</f>
        <v>0</v>
      </c>
      <c r="AI18" s="61" cm="1">
        <f t="array" ref="AI18">SUM(SUMIFS('MAIN DATA, Orders'!$M:$M,'MAIN DATA, Orders'!$C:$C,"Germany",'MAIN DATA, Orders'!$G:$G,{"Missile (Air)","Development - Missile (Air)"},'MAIN DATA, Orders'!$Q:$Q,$A18)/1000000000)</f>
        <v>0</v>
      </c>
      <c r="AJ18" s="61" cm="1">
        <f t="array" ref="AJ18">SUM(SUMIFS('MAIN DATA, Orders'!$M:$M,'MAIN DATA, Orders'!$Q:$Q,$A18,'MAIN DATA, Orders'!$C:$C,"Germany",'MAIN DATA, Orders'!$G:$G,{"Missile (Naval)","Development - Missile (Naval)"})/1000000000)</f>
        <v>0</v>
      </c>
    </row>
    <row r="19" spans="1:36">
      <c r="A19" s="72">
        <v>13</v>
      </c>
      <c r="B19" s="68">
        <v>44197</v>
      </c>
      <c r="C19" s="61">
        <f>(SUMIFS('MAIN DATA, Orders'!$M:$M,'MAIN DATA, Orders'!$Q:$Q,$A19,'MAIN DATA, Orders'!$C:$C,"Germany",'MAIN DATA, Orders'!$G:$G,"Air defence system")/1000000000)</f>
        <v>0</v>
      </c>
      <c r="D19" s="61">
        <f>(SUMIFS('MAIN DATA, Orders'!$M:$M,'MAIN DATA, Orders'!$Q:$Q,$A19,'MAIN DATA, Orders'!$C:$C,"Germany",'MAIN DATA, Orders'!$G:$G,"Development - Air defence system")/1000000000)</f>
        <v>0</v>
      </c>
      <c r="E19" s="61">
        <f>(SUMIFS('MAIN DATA, Orders'!$M:$M,'MAIN DATA, Orders'!$Q:$Q,$A19,'MAIN DATA, Orders'!$C:$C,"Germany",'MAIN DATA, Orders'!$G:$G,"Aircraft")/1000000000)</f>
        <v>0</v>
      </c>
      <c r="F19" s="61">
        <f>(SUMIFS('MAIN DATA, Orders'!$M:$M,'MAIN DATA, Orders'!$Q:$Q,$A19,'MAIN DATA, Orders'!$C:$C,"Germany",'MAIN DATA, Orders'!$G:$G,"Development - Aircraft")/1000000000)</f>
        <v>0</v>
      </c>
      <c r="G19" s="61">
        <f>(SUMIFS('MAIN DATA, Orders'!$M:$M,'MAIN DATA, Orders'!$Q:$Q,$A19,'MAIN DATA, Orders'!$C:$C,"Germany",'MAIN DATA, Orders'!$G:$G,"Ammunition")/1000000000)</f>
        <v>0</v>
      </c>
      <c r="H19" s="61">
        <f>(SUMIFS('MAIN DATA, Orders'!$M:$M,'MAIN DATA, Orders'!$Q:$Q,$A19,'MAIN DATA, Orders'!$C:$C,"Germany",'MAIN DATA, Orders'!$G:$G,"Development - Ammunition")/1000000000)</f>
        <v>0</v>
      </c>
      <c r="I19" s="61">
        <f>(SUMIFS('MAIN DATA, Orders'!$M:$M,'MAIN DATA, Orders'!$Q:$Q,$A19,'MAIN DATA, Orders'!$C:$C,"Germany",'MAIN DATA, Orders'!$G:$G,"Armoured vehicle")/1000000000)</f>
        <v>0</v>
      </c>
      <c r="J19" s="61">
        <f>(SUMIFS('MAIN DATA, Orders'!$M:$M,'MAIN DATA, Orders'!$Q:$Q,$A19,'MAIN DATA, Orders'!$C:$C,"Germany",'MAIN DATA, Orders'!$G:$G,"Development - Armoured vehicle")/1000000000)</f>
        <v>0</v>
      </c>
      <c r="K19" s="61">
        <f>(SUMIFS('MAIN DATA, Orders'!$M:$M,'MAIN DATA, Orders'!$Q:$Q,$A19,'MAIN DATA, Orders'!$C:$C,"Germany",'MAIN DATA, Orders'!$G:$G,"Artillery")/1000000000)</f>
        <v>0</v>
      </c>
      <c r="L19" s="61">
        <f>(SUMIFS('MAIN DATA, Orders'!$M:$M,'MAIN DATA, Orders'!$Q:$Q,$A19,'MAIN DATA, Orders'!$C:$C,"Germany",'MAIN DATA, Orders'!$G:$G,"Development - Artillery")/1000000000)</f>
        <v>0</v>
      </c>
      <c r="M19" s="61">
        <f>(SUMIFS('MAIN DATA, Orders'!$M:$M,'MAIN DATA, Orders'!$Q:$Q,$A19,'MAIN DATA, Orders'!$C:$C,"Germany",'MAIN DATA, Orders'!$G:$G,"Drone")/1000000000)</f>
        <v>0</v>
      </c>
      <c r="N19" s="61">
        <f>(SUMIFS('MAIN DATA, Orders'!$M:$M,'MAIN DATA, Orders'!$Q:$Q,$A19,'MAIN DATA, Orders'!$C:$C,"Germany",'MAIN DATA, Orders'!$G:$G,"Development - Drone")/1000000000)</f>
        <v>0</v>
      </c>
      <c r="O19" s="61">
        <f>(SUMIFS('MAIN DATA, Orders'!$M:$M,'MAIN DATA, Orders'!$Q:$Q,$A19,'MAIN DATA, Orders'!$C:$C,"Germany",'MAIN DATA, Orders'!$G:$G,"Helicopter")/1000000000)</f>
        <v>0</v>
      </c>
      <c r="P19" s="61">
        <f>(SUMIFS('MAIN DATA, Orders'!$M:$M,'MAIN DATA, Orders'!$Q:$Q,$A19,'MAIN DATA, Orders'!$C:$C,"Germany",'MAIN DATA, Orders'!$G:$G,"Development - Helicopter")/1000000000)</f>
        <v>0</v>
      </c>
      <c r="Q19" s="61">
        <f>(SUMIFS('MAIN DATA, Orders'!$M:$M,'MAIN DATA, Orders'!$Q:$Q,$A19,'MAIN DATA, Orders'!$C:$C,"Germany",'MAIN DATA, Orders'!$G:$G,"Infantry")/1000000000)</f>
        <v>0</v>
      </c>
      <c r="R19" s="61">
        <f>(SUMIFS('MAIN DATA, Orders'!$M:$M,'MAIN DATA, Orders'!$Q:$Q,$A19,'MAIN DATA, Orders'!$C:$C,"Germany",'MAIN DATA, Orders'!$G:$G,"Development - Infantry")/1000000000)</f>
        <v>0</v>
      </c>
      <c r="S19" s="61">
        <f>(SUMIFS('MAIN DATA, Orders'!$M:$M,'MAIN DATA, Orders'!$Q:$Q,$A19,'MAIN DATA, Orders'!$C:$C,"Germany",'MAIN DATA, Orders'!$G:$G,"Tank")/1000000000)</f>
        <v>0</v>
      </c>
      <c r="T19" s="61">
        <f>(SUMIFS('MAIN DATA, Orders'!$M:$M,'MAIN DATA, Orders'!$Q:$Q,$A19,'MAIN DATA, Orders'!$C:$C,"Germany",'MAIN DATA, Orders'!$G:$G,"Development - Tank")/1000000000)</f>
        <v>0</v>
      </c>
      <c r="U19" s="61">
        <f>(SUMIFS('MAIN DATA, Orders'!$M:$M,'MAIN DATA, Orders'!$Q:$Q,$A19,'MAIN DATA, Orders'!$C:$C,"Germany",'MAIN DATA, Orders'!$G:$G,"Maintenance")/1000000000)</f>
        <v>0</v>
      </c>
      <c r="V19" s="61">
        <f>(SUMIFS('MAIN DATA, Orders'!$M:$M,'MAIN DATA, Orders'!$Q:$Q,$A19,'MAIN DATA, Orders'!$C:$C,"Germany",'MAIN DATA, Orders'!$G:$G,"Development - Maintenance")/1000000000)</f>
        <v>0</v>
      </c>
      <c r="W19" s="61">
        <f>(SUMIFS('MAIN DATA, Orders'!$M:$M,'MAIN DATA, Orders'!$Q:$Q,$A19,'MAIN DATA, Orders'!$C:$C,"Germany",'MAIN DATA, Orders'!$G:$G,"Mine")/1000000000)</f>
        <v>0</v>
      </c>
      <c r="X19" s="61">
        <f>(SUMIFS('MAIN DATA, Orders'!$M:$M,'MAIN DATA, Orders'!$Q:$Q,$A19,'MAIN DATA, Orders'!$C:$C,"Germany",'MAIN DATA, Orders'!$G:$G,"Development - Mine")/1000000000)</f>
        <v>0</v>
      </c>
      <c r="Y19" s="61">
        <f>(SUMIFS('MAIN DATA, Orders'!$M:$M,'MAIN DATA, Orders'!$Q:$Q,$A19,'MAIN DATA, Orders'!$C:$C,"Germany",'MAIN DATA, Orders'!$H:$H,"6")/1000000000)</f>
        <v>0</v>
      </c>
      <c r="Z19" s="61" cm="1">
        <f t="array" ref="Z19">SUM(SUMIFS('MAIN DATA, Orders'!$M:$M,'MAIN DATA, Orders'!$Q:$Q,$A19,'MAIN DATA, Orders'!$C:$C,"Germany",'MAIN DATA, Orders'!$G:$G,{"Development - Missile (Land)","Development - Missile (Naval)","Development - Missile (Air)"})/1000000000)</f>
        <v>0</v>
      </c>
      <c r="AA19" s="61">
        <f>(SUMIFS('MAIN DATA, Orders'!$M:$M,'MAIN DATA, Orders'!$Q:$Q,$A19,'MAIN DATA, Orders'!$C:$C,"Germany",'MAIN DATA, Orders'!$G:$G,"Modernisation")/1000000000)</f>
        <v>0</v>
      </c>
      <c r="AB19" s="61">
        <f>(SUMIFS('MAIN DATA, Orders'!$M:$M,'MAIN DATA, Orders'!$Q:$Q,$A19,'MAIN DATA, Orders'!$C:$C,"Germany",'MAIN DATA, Orders'!$G:$G,"Development - Modernisation")/1000000000)</f>
        <v>0</v>
      </c>
      <c r="AC19" s="61">
        <f>(SUMIFS('MAIN DATA, Orders'!$M:$M,'MAIN DATA, Orders'!$Q:$Q,$A19,'MAIN DATA, Orders'!$C:$C,"Germany",'MAIN DATA, Orders'!$G:$G,"Naval")/1000000000)</f>
        <v>0</v>
      </c>
      <c r="AD19" s="61">
        <f>(SUMIFS('MAIN DATA, Orders'!$M:$M,'MAIN DATA, Orders'!$Q:$Q,$A19,'MAIN DATA, Orders'!$C:$C,"Germany",'MAIN DATA, Orders'!$G:$G,"Development - Naval")/1000000000)</f>
        <v>0</v>
      </c>
      <c r="AE19" s="61">
        <f>(SUMIFS('MAIN DATA, Orders'!$M:$M,'MAIN DATA, Orders'!$Q:$Q,$A19,'MAIN DATA, Orders'!$C:$C,"Germany",'MAIN DATA, Orders'!$G:$G,"Other")/1000000000)</f>
        <v>0</v>
      </c>
      <c r="AF19" s="61">
        <f>(SUMIFS('MAIN DATA, Orders'!$M:$M,'MAIN DATA, Orders'!$Q:$Q,$A19,'MAIN DATA, Orders'!$C:$C,"Germany",'MAIN DATA, Orders'!$G:$G,"Development - Other")/1000000000)</f>
        <v>0</v>
      </c>
      <c r="AG19" s="61"/>
      <c r="AH19" s="61" cm="1">
        <f t="array" ref="AH19">SUM(SUMIFS('MAIN DATA, Orders'!$M:$M,'MAIN DATA, Orders'!$Q:$Q,$A19,'MAIN DATA, Orders'!$C:$C,"Germany",'MAIN DATA, Orders'!$G:$G,{"Missile (Land)","Development - Missile (Land)"})/1000000000)</f>
        <v>0</v>
      </c>
      <c r="AI19" s="61" cm="1">
        <f t="array" ref="AI19">SUM(SUMIFS('MAIN DATA, Orders'!$M:$M,'MAIN DATA, Orders'!$C:$C,"Germany",'MAIN DATA, Orders'!$G:$G,{"Missile (Air)","Development - Missile (Air)"},'MAIN DATA, Orders'!$Q:$Q,$A19)/1000000000)</f>
        <v>0</v>
      </c>
      <c r="AJ19" s="61" cm="1">
        <f t="array" ref="AJ19">SUM(SUMIFS('MAIN DATA, Orders'!$M:$M,'MAIN DATA, Orders'!$Q:$Q,$A19,'MAIN DATA, Orders'!$C:$C,"Germany",'MAIN DATA, Orders'!$G:$G,{"Missile (Naval)","Development - Missile (Naval)"})/1000000000)</f>
        <v>0</v>
      </c>
    </row>
    <row r="20" spans="1:36">
      <c r="A20" s="72">
        <v>14</v>
      </c>
      <c r="B20" s="68">
        <v>44228</v>
      </c>
      <c r="C20" s="61">
        <f>(SUMIFS('MAIN DATA, Orders'!$M:$M,'MAIN DATA, Orders'!$Q:$Q,$A20,'MAIN DATA, Orders'!$C:$C,"Germany",'MAIN DATA, Orders'!$G:$G,"Air defence system")/1000000000)</f>
        <v>0</v>
      </c>
      <c r="D20" s="61">
        <f>(SUMIFS('MAIN DATA, Orders'!$M:$M,'MAIN DATA, Orders'!$Q:$Q,$A20,'MAIN DATA, Orders'!$C:$C,"Germany",'MAIN DATA, Orders'!$G:$G,"Development - Air defence system")/1000000000)</f>
        <v>0</v>
      </c>
      <c r="E20" s="61">
        <f>(SUMIFS('MAIN DATA, Orders'!$M:$M,'MAIN DATA, Orders'!$Q:$Q,$A20,'MAIN DATA, Orders'!$C:$C,"Germany",'MAIN DATA, Orders'!$G:$G,"Aircraft")/1000000000)</f>
        <v>0</v>
      </c>
      <c r="F20" s="61">
        <f>(SUMIFS('MAIN DATA, Orders'!$M:$M,'MAIN DATA, Orders'!$Q:$Q,$A20,'MAIN DATA, Orders'!$C:$C,"Germany",'MAIN DATA, Orders'!$G:$G,"Development - Aircraft")/1000000000)</f>
        <v>0</v>
      </c>
      <c r="G20" s="61">
        <f>(SUMIFS('MAIN DATA, Orders'!$M:$M,'MAIN DATA, Orders'!$Q:$Q,$A20,'MAIN DATA, Orders'!$C:$C,"Germany",'MAIN DATA, Orders'!$G:$G,"Ammunition")/1000000000)</f>
        <v>0</v>
      </c>
      <c r="H20" s="61">
        <f>(SUMIFS('MAIN DATA, Orders'!$M:$M,'MAIN DATA, Orders'!$Q:$Q,$A20,'MAIN DATA, Orders'!$C:$C,"Germany",'MAIN DATA, Orders'!$G:$G,"Development - Ammunition")/1000000000)</f>
        <v>0</v>
      </c>
      <c r="I20" s="61">
        <f>(SUMIFS('MAIN DATA, Orders'!$M:$M,'MAIN DATA, Orders'!$Q:$Q,$A20,'MAIN DATA, Orders'!$C:$C,"Germany",'MAIN DATA, Orders'!$G:$G,"Armoured vehicle")/1000000000)</f>
        <v>0</v>
      </c>
      <c r="J20" s="61">
        <f>(SUMIFS('MAIN DATA, Orders'!$M:$M,'MAIN DATA, Orders'!$Q:$Q,$A20,'MAIN DATA, Orders'!$C:$C,"Germany",'MAIN DATA, Orders'!$G:$G,"Development - Armoured vehicle")/1000000000)</f>
        <v>0</v>
      </c>
      <c r="K20" s="61">
        <f>(SUMIFS('MAIN DATA, Orders'!$M:$M,'MAIN DATA, Orders'!$Q:$Q,$A20,'MAIN DATA, Orders'!$C:$C,"Germany",'MAIN DATA, Orders'!$G:$G,"Artillery")/1000000000)</f>
        <v>0</v>
      </c>
      <c r="L20" s="61">
        <f>(SUMIFS('MAIN DATA, Orders'!$M:$M,'MAIN DATA, Orders'!$Q:$Q,$A20,'MAIN DATA, Orders'!$C:$C,"Germany",'MAIN DATA, Orders'!$G:$G,"Development - Artillery")/1000000000)</f>
        <v>0</v>
      </c>
      <c r="M20" s="61">
        <f>(SUMIFS('MAIN DATA, Orders'!$M:$M,'MAIN DATA, Orders'!$Q:$Q,$A20,'MAIN DATA, Orders'!$C:$C,"Germany",'MAIN DATA, Orders'!$G:$G,"Drone")/1000000000)</f>
        <v>0</v>
      </c>
      <c r="N20" s="61">
        <f>(SUMIFS('MAIN DATA, Orders'!$M:$M,'MAIN DATA, Orders'!$Q:$Q,$A20,'MAIN DATA, Orders'!$C:$C,"Germany",'MAIN DATA, Orders'!$G:$G,"Development - Drone")/1000000000)</f>
        <v>0</v>
      </c>
      <c r="O20" s="61">
        <f>(SUMIFS('MAIN DATA, Orders'!$M:$M,'MAIN DATA, Orders'!$Q:$Q,$A20,'MAIN DATA, Orders'!$C:$C,"Germany",'MAIN DATA, Orders'!$G:$G,"Helicopter")/1000000000)</f>
        <v>0</v>
      </c>
      <c r="P20" s="61">
        <f>(SUMIFS('MAIN DATA, Orders'!$M:$M,'MAIN DATA, Orders'!$Q:$Q,$A20,'MAIN DATA, Orders'!$C:$C,"Germany",'MAIN DATA, Orders'!$G:$G,"Development - Helicopter")/1000000000)</f>
        <v>0</v>
      </c>
      <c r="Q20" s="61">
        <f>(SUMIFS('MAIN DATA, Orders'!$M:$M,'MAIN DATA, Orders'!$Q:$Q,$A20,'MAIN DATA, Orders'!$C:$C,"Germany",'MAIN DATA, Orders'!$G:$G,"Infantry")/1000000000)</f>
        <v>0</v>
      </c>
      <c r="R20" s="61">
        <f>(SUMIFS('MAIN DATA, Orders'!$M:$M,'MAIN DATA, Orders'!$Q:$Q,$A20,'MAIN DATA, Orders'!$C:$C,"Germany",'MAIN DATA, Orders'!$G:$G,"Development - Infantry")/1000000000)</f>
        <v>0</v>
      </c>
      <c r="S20" s="61">
        <f>(SUMIFS('MAIN DATA, Orders'!$M:$M,'MAIN DATA, Orders'!$Q:$Q,$A20,'MAIN DATA, Orders'!$C:$C,"Germany",'MAIN DATA, Orders'!$G:$G,"Tank")/1000000000)</f>
        <v>0</v>
      </c>
      <c r="T20" s="61">
        <f>(SUMIFS('MAIN DATA, Orders'!$M:$M,'MAIN DATA, Orders'!$Q:$Q,$A20,'MAIN DATA, Orders'!$C:$C,"Germany",'MAIN DATA, Orders'!$G:$G,"Development - Tank")/1000000000)</f>
        <v>0</v>
      </c>
      <c r="U20" s="61">
        <f>(SUMIFS('MAIN DATA, Orders'!$M:$M,'MAIN DATA, Orders'!$Q:$Q,$A20,'MAIN DATA, Orders'!$C:$C,"Germany",'MAIN DATA, Orders'!$G:$G,"Maintenance")/1000000000)</f>
        <v>0</v>
      </c>
      <c r="V20" s="61">
        <f>(SUMIFS('MAIN DATA, Orders'!$M:$M,'MAIN DATA, Orders'!$Q:$Q,$A20,'MAIN DATA, Orders'!$C:$C,"Germany",'MAIN DATA, Orders'!$G:$G,"Development - Maintenance")/1000000000)</f>
        <v>0</v>
      </c>
      <c r="W20" s="61">
        <f>(SUMIFS('MAIN DATA, Orders'!$M:$M,'MAIN DATA, Orders'!$Q:$Q,$A20,'MAIN DATA, Orders'!$C:$C,"Germany",'MAIN DATA, Orders'!$G:$G,"Mine")/1000000000)</f>
        <v>0</v>
      </c>
      <c r="X20" s="61">
        <f>(SUMIFS('MAIN DATA, Orders'!$M:$M,'MAIN DATA, Orders'!$Q:$Q,$A20,'MAIN DATA, Orders'!$C:$C,"Germany",'MAIN DATA, Orders'!$G:$G,"Development - Mine")/1000000000)</f>
        <v>0</v>
      </c>
      <c r="Y20" s="61">
        <f>(SUMIFS('MAIN DATA, Orders'!$M:$M,'MAIN DATA, Orders'!$Q:$Q,$A20,'MAIN DATA, Orders'!$C:$C,"Germany",'MAIN DATA, Orders'!$H:$H,"6")/1000000000)</f>
        <v>8.7999999999999995E-2</v>
      </c>
      <c r="Z20" s="61" cm="1">
        <f t="array" ref="Z20">SUM(SUMIFS('MAIN DATA, Orders'!$M:$M,'MAIN DATA, Orders'!$Q:$Q,$A20,'MAIN DATA, Orders'!$C:$C,"Germany",'MAIN DATA, Orders'!$G:$G,{"Development - Missile (Land)","Development - Missile (Naval)","Development - Missile (Air)"})/1000000000)</f>
        <v>0</v>
      </c>
      <c r="AA20" s="61">
        <f>(SUMIFS('MAIN DATA, Orders'!$M:$M,'MAIN DATA, Orders'!$Q:$Q,$A20,'MAIN DATA, Orders'!$C:$C,"Germany",'MAIN DATA, Orders'!$G:$G,"Modernisation")/1000000000)</f>
        <v>0</v>
      </c>
      <c r="AB20" s="61">
        <f>(SUMIFS('MAIN DATA, Orders'!$M:$M,'MAIN DATA, Orders'!$Q:$Q,$A20,'MAIN DATA, Orders'!$C:$C,"Germany",'MAIN DATA, Orders'!$G:$G,"Development - Modernisation")/1000000000)</f>
        <v>0</v>
      </c>
      <c r="AC20" s="61">
        <f>(SUMIFS('MAIN DATA, Orders'!$M:$M,'MAIN DATA, Orders'!$Q:$Q,$A20,'MAIN DATA, Orders'!$C:$C,"Germany",'MAIN DATA, Orders'!$G:$G,"Naval")/1000000000)</f>
        <v>0</v>
      </c>
      <c r="AD20" s="61">
        <f>(SUMIFS('MAIN DATA, Orders'!$M:$M,'MAIN DATA, Orders'!$Q:$Q,$A20,'MAIN DATA, Orders'!$C:$C,"Germany",'MAIN DATA, Orders'!$G:$G,"Development - Naval")/1000000000)</f>
        <v>0</v>
      </c>
      <c r="AE20" s="61">
        <f>(SUMIFS('MAIN DATA, Orders'!$M:$M,'MAIN DATA, Orders'!$Q:$Q,$A20,'MAIN DATA, Orders'!$C:$C,"Germany",'MAIN DATA, Orders'!$G:$G,"Other")/1000000000)</f>
        <v>0</v>
      </c>
      <c r="AF20" s="61">
        <f>(SUMIFS('MAIN DATA, Orders'!$M:$M,'MAIN DATA, Orders'!$Q:$Q,$A20,'MAIN DATA, Orders'!$C:$C,"Germany",'MAIN DATA, Orders'!$G:$G,"Development - Other")/1000000000)</f>
        <v>0</v>
      </c>
      <c r="AG20" s="61"/>
      <c r="AH20" s="61" cm="1">
        <f t="array" ref="AH20">SUM(SUMIFS('MAIN DATA, Orders'!$M:$M,'MAIN DATA, Orders'!$Q:$Q,$A20,'MAIN DATA, Orders'!$C:$C,"Germany",'MAIN DATA, Orders'!$G:$G,{"Missile (Land)","Development - Missile (Land)"})/1000000000)</f>
        <v>8.7999999999999995E-2</v>
      </c>
      <c r="AI20" s="61" cm="1">
        <f t="array" ref="AI20">SUM(SUMIFS('MAIN DATA, Orders'!$M:$M,'MAIN DATA, Orders'!$C:$C,"Germany",'MAIN DATA, Orders'!$G:$G,{"Missile (Air)","Development - Missile (Air)"},'MAIN DATA, Orders'!$Q:$Q,$A20)/1000000000)</f>
        <v>0</v>
      </c>
      <c r="AJ20" s="61" cm="1">
        <f t="array" ref="AJ20">SUM(SUMIFS('MAIN DATA, Orders'!$M:$M,'MAIN DATA, Orders'!$Q:$Q,$A20,'MAIN DATA, Orders'!$C:$C,"Germany",'MAIN DATA, Orders'!$G:$G,{"Missile (Naval)","Development - Missile (Naval)"})/1000000000)</f>
        <v>0</v>
      </c>
    </row>
    <row r="21" spans="1:36">
      <c r="A21" s="72">
        <v>15</v>
      </c>
      <c r="B21" s="68">
        <v>44256</v>
      </c>
      <c r="C21" s="61">
        <f>(SUMIFS('MAIN DATA, Orders'!$M:$M,'MAIN DATA, Orders'!$Q:$Q,$A21,'MAIN DATA, Orders'!$C:$C,"Germany",'MAIN DATA, Orders'!$G:$G,"Air defence system")/1000000000)</f>
        <v>0</v>
      </c>
      <c r="D21" s="61">
        <f>(SUMIFS('MAIN DATA, Orders'!$M:$M,'MAIN DATA, Orders'!$Q:$Q,$A21,'MAIN DATA, Orders'!$C:$C,"Germany",'MAIN DATA, Orders'!$G:$G,"Development - Air defence system")/1000000000)</f>
        <v>0</v>
      </c>
      <c r="E21" s="61">
        <f>(SUMIFS('MAIN DATA, Orders'!$M:$M,'MAIN DATA, Orders'!$Q:$Q,$A21,'MAIN DATA, Orders'!$C:$C,"Germany",'MAIN DATA, Orders'!$G:$G,"Aircraft")/1000000000)</f>
        <v>0</v>
      </c>
      <c r="F21" s="61">
        <f>(SUMIFS('MAIN DATA, Orders'!$M:$M,'MAIN DATA, Orders'!$Q:$Q,$A21,'MAIN DATA, Orders'!$C:$C,"Germany",'MAIN DATA, Orders'!$G:$G,"Development - Aircraft")/1000000000)</f>
        <v>0</v>
      </c>
      <c r="G21" s="61">
        <f>(SUMIFS('MAIN DATA, Orders'!$M:$M,'MAIN DATA, Orders'!$Q:$Q,$A21,'MAIN DATA, Orders'!$C:$C,"Germany",'MAIN DATA, Orders'!$G:$G,"Ammunition")/1000000000)</f>
        <v>0</v>
      </c>
      <c r="H21" s="61">
        <f>(SUMIFS('MAIN DATA, Orders'!$M:$M,'MAIN DATA, Orders'!$Q:$Q,$A21,'MAIN DATA, Orders'!$C:$C,"Germany",'MAIN DATA, Orders'!$G:$G,"Development - Ammunition")/1000000000)</f>
        <v>0</v>
      </c>
      <c r="I21" s="61">
        <f>(SUMIFS('MAIN DATA, Orders'!$M:$M,'MAIN DATA, Orders'!$Q:$Q,$A21,'MAIN DATA, Orders'!$C:$C,"Germany",'MAIN DATA, Orders'!$G:$G,"Armoured vehicle")/1000000000)</f>
        <v>0</v>
      </c>
      <c r="J21" s="61">
        <f>(SUMIFS('MAIN DATA, Orders'!$M:$M,'MAIN DATA, Orders'!$Q:$Q,$A21,'MAIN DATA, Orders'!$C:$C,"Germany",'MAIN DATA, Orders'!$G:$G,"Development - Armoured vehicle")/1000000000)</f>
        <v>0</v>
      </c>
      <c r="K21" s="61">
        <f>(SUMIFS('MAIN DATA, Orders'!$M:$M,'MAIN DATA, Orders'!$Q:$Q,$A21,'MAIN DATA, Orders'!$C:$C,"Germany",'MAIN DATA, Orders'!$G:$G,"Artillery")/1000000000)</f>
        <v>0</v>
      </c>
      <c r="L21" s="61">
        <f>(SUMIFS('MAIN DATA, Orders'!$M:$M,'MAIN DATA, Orders'!$Q:$Q,$A21,'MAIN DATA, Orders'!$C:$C,"Germany",'MAIN DATA, Orders'!$G:$G,"Development - Artillery")/1000000000)</f>
        <v>0</v>
      </c>
      <c r="M21" s="61">
        <f>(SUMIFS('MAIN DATA, Orders'!$M:$M,'MAIN DATA, Orders'!$Q:$Q,$A21,'MAIN DATA, Orders'!$C:$C,"Germany",'MAIN DATA, Orders'!$G:$G,"Drone")/1000000000)</f>
        <v>0</v>
      </c>
      <c r="N21" s="61">
        <f>(SUMIFS('MAIN DATA, Orders'!$M:$M,'MAIN DATA, Orders'!$Q:$Q,$A21,'MAIN DATA, Orders'!$C:$C,"Germany",'MAIN DATA, Orders'!$G:$G,"Development - Drone")/1000000000)</f>
        <v>0</v>
      </c>
      <c r="O21" s="61">
        <f>(SUMIFS('MAIN DATA, Orders'!$M:$M,'MAIN DATA, Orders'!$Q:$Q,$A21,'MAIN DATA, Orders'!$C:$C,"Germany",'MAIN DATA, Orders'!$G:$G,"Helicopter")/1000000000)</f>
        <v>0</v>
      </c>
      <c r="P21" s="61">
        <f>(SUMIFS('MAIN DATA, Orders'!$M:$M,'MAIN DATA, Orders'!$Q:$Q,$A21,'MAIN DATA, Orders'!$C:$C,"Germany",'MAIN DATA, Orders'!$G:$G,"Development - Helicopter")/1000000000)</f>
        <v>0</v>
      </c>
      <c r="Q21" s="61">
        <f>(SUMIFS('MAIN DATA, Orders'!$M:$M,'MAIN DATA, Orders'!$Q:$Q,$A21,'MAIN DATA, Orders'!$C:$C,"Germany",'MAIN DATA, Orders'!$G:$G,"Infantry")/1000000000)</f>
        <v>0</v>
      </c>
      <c r="R21" s="61">
        <f>(SUMIFS('MAIN DATA, Orders'!$M:$M,'MAIN DATA, Orders'!$Q:$Q,$A21,'MAIN DATA, Orders'!$C:$C,"Germany",'MAIN DATA, Orders'!$G:$G,"Development - Infantry")/1000000000)</f>
        <v>0</v>
      </c>
      <c r="S21" s="61">
        <f>(SUMIFS('MAIN DATA, Orders'!$M:$M,'MAIN DATA, Orders'!$Q:$Q,$A21,'MAIN DATA, Orders'!$C:$C,"Germany",'MAIN DATA, Orders'!$G:$G,"Tank")/1000000000)</f>
        <v>0</v>
      </c>
      <c r="T21" s="61">
        <f>(SUMIFS('MAIN DATA, Orders'!$M:$M,'MAIN DATA, Orders'!$Q:$Q,$A21,'MAIN DATA, Orders'!$C:$C,"Germany",'MAIN DATA, Orders'!$G:$G,"Development - Tank")/1000000000)</f>
        <v>0</v>
      </c>
      <c r="U21" s="61">
        <f>(SUMIFS('MAIN DATA, Orders'!$M:$M,'MAIN DATA, Orders'!$Q:$Q,$A21,'MAIN DATA, Orders'!$C:$C,"Germany",'MAIN DATA, Orders'!$G:$G,"Maintenance")/1000000000)</f>
        <v>0</v>
      </c>
      <c r="V21" s="61">
        <f>(SUMIFS('MAIN DATA, Orders'!$M:$M,'MAIN DATA, Orders'!$Q:$Q,$A21,'MAIN DATA, Orders'!$C:$C,"Germany",'MAIN DATA, Orders'!$G:$G,"Development - Maintenance")/1000000000)</f>
        <v>0</v>
      </c>
      <c r="W21" s="61">
        <f>(SUMIFS('MAIN DATA, Orders'!$M:$M,'MAIN DATA, Orders'!$Q:$Q,$A21,'MAIN DATA, Orders'!$C:$C,"Germany",'MAIN DATA, Orders'!$G:$G,"Mine")/1000000000)</f>
        <v>0</v>
      </c>
      <c r="X21" s="61">
        <f>(SUMIFS('MAIN DATA, Orders'!$M:$M,'MAIN DATA, Orders'!$Q:$Q,$A21,'MAIN DATA, Orders'!$C:$C,"Germany",'MAIN DATA, Orders'!$G:$G,"Development - Mine")/1000000000)</f>
        <v>0</v>
      </c>
      <c r="Y21" s="61">
        <f>(SUMIFS('MAIN DATA, Orders'!$M:$M,'MAIN DATA, Orders'!$Q:$Q,$A21,'MAIN DATA, Orders'!$C:$C,"Germany",'MAIN DATA, Orders'!$H:$H,"6")/1000000000)</f>
        <v>0</v>
      </c>
      <c r="Z21" s="61" cm="1">
        <f t="array" ref="Z21">SUM(SUMIFS('MAIN DATA, Orders'!$M:$M,'MAIN DATA, Orders'!$Q:$Q,$A21,'MAIN DATA, Orders'!$C:$C,"Germany",'MAIN DATA, Orders'!$G:$G,{"Development - Missile (Land)","Development - Missile (Naval)","Development - Missile (Air)"})/1000000000)</f>
        <v>0</v>
      </c>
      <c r="AA21" s="61">
        <f>(SUMIFS('MAIN DATA, Orders'!$M:$M,'MAIN DATA, Orders'!$Q:$Q,$A21,'MAIN DATA, Orders'!$C:$C,"Germany",'MAIN DATA, Orders'!$G:$G,"Modernisation")/1000000000)</f>
        <v>0</v>
      </c>
      <c r="AB21" s="61">
        <f>(SUMIFS('MAIN DATA, Orders'!$M:$M,'MAIN DATA, Orders'!$Q:$Q,$A21,'MAIN DATA, Orders'!$C:$C,"Germany",'MAIN DATA, Orders'!$G:$G,"Development - Modernisation")/1000000000)</f>
        <v>0</v>
      </c>
      <c r="AC21" s="61">
        <f>(SUMIFS('MAIN DATA, Orders'!$M:$M,'MAIN DATA, Orders'!$Q:$Q,$A21,'MAIN DATA, Orders'!$C:$C,"Germany",'MAIN DATA, Orders'!$G:$G,"Naval")/1000000000)</f>
        <v>0</v>
      </c>
      <c r="AD21" s="61">
        <f>(SUMIFS('MAIN DATA, Orders'!$M:$M,'MAIN DATA, Orders'!$Q:$Q,$A21,'MAIN DATA, Orders'!$C:$C,"Germany",'MAIN DATA, Orders'!$G:$G,"Development - Naval")/1000000000)</f>
        <v>0</v>
      </c>
      <c r="AE21" s="61">
        <f>(SUMIFS('MAIN DATA, Orders'!$M:$M,'MAIN DATA, Orders'!$Q:$Q,$A21,'MAIN DATA, Orders'!$C:$C,"Germany",'MAIN DATA, Orders'!$G:$G,"Other")/1000000000)</f>
        <v>0</v>
      </c>
      <c r="AF21" s="61">
        <f>(SUMIFS('MAIN DATA, Orders'!$M:$M,'MAIN DATA, Orders'!$Q:$Q,$A21,'MAIN DATA, Orders'!$C:$C,"Germany",'MAIN DATA, Orders'!$G:$G,"Development - Other")/1000000000)</f>
        <v>0</v>
      </c>
      <c r="AG21" s="61"/>
      <c r="AH21" s="61" cm="1">
        <f t="array" ref="AH21">SUM(SUMIFS('MAIN DATA, Orders'!$M:$M,'MAIN DATA, Orders'!$Q:$Q,$A21,'MAIN DATA, Orders'!$C:$C,"Germany",'MAIN DATA, Orders'!$G:$G,{"Missile (Land)","Development - Missile (Land)"})/1000000000)</f>
        <v>0</v>
      </c>
      <c r="AI21" s="61" cm="1">
        <f t="array" ref="AI21">SUM(SUMIFS('MAIN DATA, Orders'!$M:$M,'MAIN DATA, Orders'!$C:$C,"Germany",'MAIN DATA, Orders'!$G:$G,{"Missile (Air)","Development - Missile (Air)"},'MAIN DATA, Orders'!$Q:$Q,$A21)/1000000000)</f>
        <v>0</v>
      </c>
      <c r="AJ21" s="61" cm="1">
        <f t="array" ref="AJ21">SUM(SUMIFS('MAIN DATA, Orders'!$M:$M,'MAIN DATA, Orders'!$Q:$Q,$A21,'MAIN DATA, Orders'!$C:$C,"Germany",'MAIN DATA, Orders'!$G:$G,{"Missile (Naval)","Development - Missile (Naval)"})/1000000000)</f>
        <v>0</v>
      </c>
    </row>
    <row r="22" spans="1:36">
      <c r="A22" s="72">
        <v>16</v>
      </c>
      <c r="B22" s="68">
        <v>44287</v>
      </c>
      <c r="C22" s="61">
        <f>(SUMIFS('MAIN DATA, Orders'!$M:$M,'MAIN DATA, Orders'!$Q:$Q,$A22,'MAIN DATA, Orders'!$C:$C,"Germany",'MAIN DATA, Orders'!$G:$G,"Air defence system")/1000000000)</f>
        <v>0</v>
      </c>
      <c r="D22" s="61">
        <f>(SUMIFS('MAIN DATA, Orders'!$M:$M,'MAIN DATA, Orders'!$Q:$Q,$A22,'MAIN DATA, Orders'!$C:$C,"Germany",'MAIN DATA, Orders'!$G:$G,"Development - Air defence system")/1000000000)</f>
        <v>0</v>
      </c>
      <c r="E22" s="61">
        <f>(SUMIFS('MAIN DATA, Orders'!$M:$M,'MAIN DATA, Orders'!$Q:$Q,$A22,'MAIN DATA, Orders'!$C:$C,"Germany",'MAIN DATA, Orders'!$G:$G,"Aircraft")/1000000000)</f>
        <v>0.105</v>
      </c>
      <c r="F22" s="61">
        <f>(SUMIFS('MAIN DATA, Orders'!$M:$M,'MAIN DATA, Orders'!$Q:$Q,$A22,'MAIN DATA, Orders'!$C:$C,"Germany",'MAIN DATA, Orders'!$G:$G,"Development - Aircraft")/1000000000)</f>
        <v>0</v>
      </c>
      <c r="G22" s="61">
        <f>(SUMIFS('MAIN DATA, Orders'!$M:$M,'MAIN DATA, Orders'!$Q:$Q,$A22,'MAIN DATA, Orders'!$C:$C,"Germany",'MAIN DATA, Orders'!$G:$G,"Ammunition")/1000000000)</f>
        <v>0</v>
      </c>
      <c r="H22" s="61">
        <f>(SUMIFS('MAIN DATA, Orders'!$M:$M,'MAIN DATA, Orders'!$Q:$Q,$A22,'MAIN DATA, Orders'!$C:$C,"Germany",'MAIN DATA, Orders'!$G:$G,"Development - Ammunition")/1000000000)</f>
        <v>0</v>
      </c>
      <c r="I22" s="61">
        <f>(SUMIFS('MAIN DATA, Orders'!$M:$M,'MAIN DATA, Orders'!$Q:$Q,$A22,'MAIN DATA, Orders'!$C:$C,"Germany",'MAIN DATA, Orders'!$G:$G,"Armoured vehicle")/1000000000)</f>
        <v>0.29499999999999998</v>
      </c>
      <c r="J22" s="61">
        <f>(SUMIFS('MAIN DATA, Orders'!$M:$M,'MAIN DATA, Orders'!$Q:$Q,$A22,'MAIN DATA, Orders'!$C:$C,"Germany",'MAIN DATA, Orders'!$G:$G,"Development - Armoured vehicle")/1000000000)</f>
        <v>0</v>
      </c>
      <c r="K22" s="61">
        <f>(SUMIFS('MAIN DATA, Orders'!$M:$M,'MAIN DATA, Orders'!$Q:$Q,$A22,'MAIN DATA, Orders'!$C:$C,"Germany",'MAIN DATA, Orders'!$G:$G,"Artillery")/1000000000)</f>
        <v>0</v>
      </c>
      <c r="L22" s="61">
        <f>(SUMIFS('MAIN DATA, Orders'!$M:$M,'MAIN DATA, Orders'!$Q:$Q,$A22,'MAIN DATA, Orders'!$C:$C,"Germany",'MAIN DATA, Orders'!$G:$G,"Development - Artillery")/1000000000)</f>
        <v>0</v>
      </c>
      <c r="M22" s="61">
        <f>(SUMIFS('MAIN DATA, Orders'!$M:$M,'MAIN DATA, Orders'!$Q:$Q,$A22,'MAIN DATA, Orders'!$C:$C,"Germany",'MAIN DATA, Orders'!$G:$G,"Drone")/1000000000)</f>
        <v>0</v>
      </c>
      <c r="N22" s="61">
        <f>(SUMIFS('MAIN DATA, Orders'!$M:$M,'MAIN DATA, Orders'!$Q:$Q,$A22,'MAIN DATA, Orders'!$C:$C,"Germany",'MAIN DATA, Orders'!$G:$G,"Development - Drone")/1000000000)</f>
        <v>3.1</v>
      </c>
      <c r="O22" s="61">
        <f>(SUMIFS('MAIN DATA, Orders'!$M:$M,'MAIN DATA, Orders'!$Q:$Q,$A22,'MAIN DATA, Orders'!$C:$C,"Germany",'MAIN DATA, Orders'!$G:$G,"Helicopter")/1000000000)</f>
        <v>6.3E-2</v>
      </c>
      <c r="P22" s="61">
        <f>(SUMIFS('MAIN DATA, Orders'!$M:$M,'MAIN DATA, Orders'!$Q:$Q,$A22,'MAIN DATA, Orders'!$C:$C,"Germany",'MAIN DATA, Orders'!$G:$G,"Development - Helicopter")/1000000000)</f>
        <v>0</v>
      </c>
      <c r="Q22" s="61">
        <f>(SUMIFS('MAIN DATA, Orders'!$M:$M,'MAIN DATA, Orders'!$Q:$Q,$A22,'MAIN DATA, Orders'!$C:$C,"Germany",'MAIN DATA, Orders'!$G:$G,"Infantry")/1000000000)</f>
        <v>0</v>
      </c>
      <c r="R22" s="61">
        <f>(SUMIFS('MAIN DATA, Orders'!$M:$M,'MAIN DATA, Orders'!$Q:$Q,$A22,'MAIN DATA, Orders'!$C:$C,"Germany",'MAIN DATA, Orders'!$G:$G,"Development - Infantry")/1000000000)</f>
        <v>0</v>
      </c>
      <c r="S22" s="61">
        <f>(SUMIFS('MAIN DATA, Orders'!$M:$M,'MAIN DATA, Orders'!$Q:$Q,$A22,'MAIN DATA, Orders'!$C:$C,"Germany",'MAIN DATA, Orders'!$G:$G,"Tank")/1000000000)</f>
        <v>0</v>
      </c>
      <c r="T22" s="61">
        <f>(SUMIFS('MAIN DATA, Orders'!$M:$M,'MAIN DATA, Orders'!$Q:$Q,$A22,'MAIN DATA, Orders'!$C:$C,"Germany",'MAIN DATA, Orders'!$G:$G,"Development - Tank")/1000000000)</f>
        <v>0</v>
      </c>
      <c r="U22" s="61">
        <f>(SUMIFS('MAIN DATA, Orders'!$M:$M,'MAIN DATA, Orders'!$Q:$Q,$A22,'MAIN DATA, Orders'!$C:$C,"Germany",'MAIN DATA, Orders'!$G:$G,"Maintenance")/1000000000)</f>
        <v>0</v>
      </c>
      <c r="V22" s="61">
        <f>(SUMIFS('MAIN DATA, Orders'!$M:$M,'MAIN DATA, Orders'!$Q:$Q,$A22,'MAIN DATA, Orders'!$C:$C,"Germany",'MAIN DATA, Orders'!$G:$G,"Development - Maintenance")/1000000000)</f>
        <v>0</v>
      </c>
      <c r="W22" s="61">
        <f>(SUMIFS('MAIN DATA, Orders'!$M:$M,'MAIN DATA, Orders'!$Q:$Q,$A22,'MAIN DATA, Orders'!$C:$C,"Germany",'MAIN DATA, Orders'!$G:$G,"Mine")/1000000000)</f>
        <v>0</v>
      </c>
      <c r="X22" s="61">
        <f>(SUMIFS('MAIN DATA, Orders'!$M:$M,'MAIN DATA, Orders'!$Q:$Q,$A22,'MAIN DATA, Orders'!$C:$C,"Germany",'MAIN DATA, Orders'!$G:$G,"Development - Mine")/1000000000)</f>
        <v>0</v>
      </c>
      <c r="Y22" s="61">
        <f>(SUMIFS('MAIN DATA, Orders'!$M:$M,'MAIN DATA, Orders'!$Q:$Q,$A22,'MAIN DATA, Orders'!$C:$C,"Germany",'MAIN DATA, Orders'!$H:$H,"6")/1000000000)</f>
        <v>0</v>
      </c>
      <c r="Z22" s="61" cm="1">
        <f t="array" ref="Z22">SUM(SUMIFS('MAIN DATA, Orders'!$M:$M,'MAIN DATA, Orders'!$Q:$Q,$A22,'MAIN DATA, Orders'!$C:$C,"Germany",'MAIN DATA, Orders'!$G:$G,{"Development - Missile (Land)","Development - Missile (Naval)","Development - Missile (Air)"})/1000000000)</f>
        <v>0</v>
      </c>
      <c r="AA22" s="61">
        <f>(SUMIFS('MAIN DATA, Orders'!$M:$M,'MAIN DATA, Orders'!$Q:$Q,$A22,'MAIN DATA, Orders'!$C:$C,"Germany",'MAIN DATA, Orders'!$G:$G,"Modernisation")/1000000000)</f>
        <v>5.8999999999999997E-2</v>
      </c>
      <c r="AB22" s="61">
        <f>(SUMIFS('MAIN DATA, Orders'!$M:$M,'MAIN DATA, Orders'!$Q:$Q,$A22,'MAIN DATA, Orders'!$C:$C,"Germany",'MAIN DATA, Orders'!$G:$G,"Development - Modernisation")/1000000000)</f>
        <v>0</v>
      </c>
      <c r="AC22" s="61">
        <f>(SUMIFS('MAIN DATA, Orders'!$M:$M,'MAIN DATA, Orders'!$Q:$Q,$A22,'MAIN DATA, Orders'!$C:$C,"Germany",'MAIN DATA, Orders'!$G:$G,"Naval")/1000000000)</f>
        <v>7.8E-2</v>
      </c>
      <c r="AD22" s="61">
        <f>(SUMIFS('MAIN DATA, Orders'!$M:$M,'MAIN DATA, Orders'!$Q:$Q,$A22,'MAIN DATA, Orders'!$C:$C,"Germany",'MAIN DATA, Orders'!$G:$G,"Development - Naval")/1000000000)</f>
        <v>0</v>
      </c>
      <c r="AE22" s="61">
        <f>(SUMIFS('MAIN DATA, Orders'!$M:$M,'MAIN DATA, Orders'!$Q:$Q,$A22,'MAIN DATA, Orders'!$C:$C,"Germany",'MAIN DATA, Orders'!$G:$G,"Other")/1000000000)</f>
        <v>0</v>
      </c>
      <c r="AF22" s="61">
        <f>(SUMIFS('MAIN DATA, Orders'!$M:$M,'MAIN DATA, Orders'!$Q:$Q,$A22,'MAIN DATA, Orders'!$C:$C,"Germany",'MAIN DATA, Orders'!$G:$G,"Development - Other")/1000000000)</f>
        <v>0</v>
      </c>
      <c r="AG22" s="61"/>
      <c r="AH22" s="61" cm="1">
        <f t="array" ref="AH22">SUM(SUMIFS('MAIN DATA, Orders'!$M:$M,'MAIN DATA, Orders'!$Q:$Q,$A22,'MAIN DATA, Orders'!$C:$C,"Germany",'MAIN DATA, Orders'!$G:$G,{"Missile (Land)","Development - Missile (Land)"})/1000000000)</f>
        <v>0</v>
      </c>
      <c r="AI22" s="61" cm="1">
        <f t="array" ref="AI22">SUM(SUMIFS('MAIN DATA, Orders'!$M:$M,'MAIN DATA, Orders'!$C:$C,"Germany",'MAIN DATA, Orders'!$G:$G,{"Missile (Air)","Development - Missile (Air)"},'MAIN DATA, Orders'!$Q:$Q,$A22)/1000000000)</f>
        <v>0</v>
      </c>
      <c r="AJ22" s="61" cm="1">
        <f t="array" ref="AJ22">SUM(SUMIFS('MAIN DATA, Orders'!$M:$M,'MAIN DATA, Orders'!$Q:$Q,$A22,'MAIN DATA, Orders'!$C:$C,"Germany",'MAIN DATA, Orders'!$G:$G,{"Missile (Naval)","Development - Missile (Naval)"})/1000000000)</f>
        <v>0</v>
      </c>
    </row>
    <row r="23" spans="1:36">
      <c r="A23" s="72">
        <v>17</v>
      </c>
      <c r="B23" s="68">
        <v>44317</v>
      </c>
      <c r="C23" s="61">
        <f>(SUMIFS('MAIN DATA, Orders'!$M:$M,'MAIN DATA, Orders'!$Q:$Q,$A23,'MAIN DATA, Orders'!$C:$C,"Germany",'MAIN DATA, Orders'!$G:$G,"Air defence system")/1000000000)</f>
        <v>0</v>
      </c>
      <c r="D23" s="61">
        <f>(SUMIFS('MAIN DATA, Orders'!$M:$M,'MAIN DATA, Orders'!$Q:$Q,$A23,'MAIN DATA, Orders'!$C:$C,"Germany",'MAIN DATA, Orders'!$G:$G,"Development - Air defence system")/1000000000)</f>
        <v>0</v>
      </c>
      <c r="E23" s="61">
        <f>(SUMIFS('MAIN DATA, Orders'!$M:$M,'MAIN DATA, Orders'!$Q:$Q,$A23,'MAIN DATA, Orders'!$C:$C,"Germany",'MAIN DATA, Orders'!$G:$G,"Aircraft")/1000000000)</f>
        <v>0</v>
      </c>
      <c r="F23" s="61">
        <f>(SUMIFS('MAIN DATA, Orders'!$M:$M,'MAIN DATA, Orders'!$Q:$Q,$A23,'MAIN DATA, Orders'!$C:$C,"Germany",'MAIN DATA, Orders'!$G:$G,"Development - Aircraft")/1000000000)</f>
        <v>0</v>
      </c>
      <c r="G23" s="61">
        <f>(SUMIFS('MAIN DATA, Orders'!$M:$M,'MAIN DATA, Orders'!$Q:$Q,$A23,'MAIN DATA, Orders'!$C:$C,"Germany",'MAIN DATA, Orders'!$G:$G,"Ammunition")/1000000000)</f>
        <v>0</v>
      </c>
      <c r="H23" s="61">
        <f>(SUMIFS('MAIN DATA, Orders'!$M:$M,'MAIN DATA, Orders'!$Q:$Q,$A23,'MAIN DATA, Orders'!$C:$C,"Germany",'MAIN DATA, Orders'!$G:$G,"Development - Ammunition")/1000000000)</f>
        <v>0</v>
      </c>
      <c r="I23" s="61">
        <f>(SUMIFS('MAIN DATA, Orders'!$M:$M,'MAIN DATA, Orders'!$Q:$Q,$A23,'MAIN DATA, Orders'!$C:$C,"Germany",'MAIN DATA, Orders'!$G:$G,"Armoured vehicle")/1000000000)</f>
        <v>0</v>
      </c>
      <c r="J23" s="61">
        <f>(SUMIFS('MAIN DATA, Orders'!$M:$M,'MAIN DATA, Orders'!$Q:$Q,$A23,'MAIN DATA, Orders'!$C:$C,"Germany",'MAIN DATA, Orders'!$G:$G,"Development - Armoured vehicle")/1000000000)</f>
        <v>0</v>
      </c>
      <c r="K23" s="61">
        <f>(SUMIFS('MAIN DATA, Orders'!$M:$M,'MAIN DATA, Orders'!$Q:$Q,$A23,'MAIN DATA, Orders'!$C:$C,"Germany",'MAIN DATA, Orders'!$G:$G,"Artillery")/1000000000)</f>
        <v>0</v>
      </c>
      <c r="L23" s="61">
        <f>(SUMIFS('MAIN DATA, Orders'!$M:$M,'MAIN DATA, Orders'!$Q:$Q,$A23,'MAIN DATA, Orders'!$C:$C,"Germany",'MAIN DATA, Orders'!$G:$G,"Development - Artillery")/1000000000)</f>
        <v>0</v>
      </c>
      <c r="M23" s="61">
        <f>(SUMIFS('MAIN DATA, Orders'!$M:$M,'MAIN DATA, Orders'!$Q:$Q,$A23,'MAIN DATA, Orders'!$C:$C,"Germany",'MAIN DATA, Orders'!$G:$G,"Drone")/1000000000)</f>
        <v>0</v>
      </c>
      <c r="N23" s="61">
        <f>(SUMIFS('MAIN DATA, Orders'!$M:$M,'MAIN DATA, Orders'!$Q:$Q,$A23,'MAIN DATA, Orders'!$C:$C,"Germany",'MAIN DATA, Orders'!$G:$G,"Development - Drone")/1000000000)</f>
        <v>0</v>
      </c>
      <c r="O23" s="61">
        <f>(SUMIFS('MAIN DATA, Orders'!$M:$M,'MAIN DATA, Orders'!$Q:$Q,$A23,'MAIN DATA, Orders'!$C:$C,"Germany",'MAIN DATA, Orders'!$G:$G,"Helicopter")/1000000000)</f>
        <v>0</v>
      </c>
      <c r="P23" s="61">
        <f>(SUMIFS('MAIN DATA, Orders'!$M:$M,'MAIN DATA, Orders'!$Q:$Q,$A23,'MAIN DATA, Orders'!$C:$C,"Germany",'MAIN DATA, Orders'!$G:$G,"Development - Helicopter")/1000000000)</f>
        <v>0</v>
      </c>
      <c r="Q23" s="61">
        <f>(SUMIFS('MAIN DATA, Orders'!$M:$M,'MAIN DATA, Orders'!$Q:$Q,$A23,'MAIN DATA, Orders'!$C:$C,"Germany",'MAIN DATA, Orders'!$G:$G,"Infantry")/1000000000)</f>
        <v>0</v>
      </c>
      <c r="R23" s="61">
        <f>(SUMIFS('MAIN DATA, Orders'!$M:$M,'MAIN DATA, Orders'!$Q:$Q,$A23,'MAIN DATA, Orders'!$C:$C,"Germany",'MAIN DATA, Orders'!$G:$G,"Development - Infantry")/1000000000)</f>
        <v>0</v>
      </c>
      <c r="S23" s="61">
        <f>(SUMIFS('MAIN DATA, Orders'!$M:$M,'MAIN DATA, Orders'!$Q:$Q,$A23,'MAIN DATA, Orders'!$C:$C,"Germany",'MAIN DATA, Orders'!$G:$G,"Tank")/1000000000)</f>
        <v>0</v>
      </c>
      <c r="T23" s="61">
        <f>(SUMIFS('MAIN DATA, Orders'!$M:$M,'MAIN DATA, Orders'!$Q:$Q,$A23,'MAIN DATA, Orders'!$C:$C,"Germany",'MAIN DATA, Orders'!$G:$G,"Development - Tank")/1000000000)</f>
        <v>0</v>
      </c>
      <c r="U23" s="61">
        <f>(SUMIFS('MAIN DATA, Orders'!$M:$M,'MAIN DATA, Orders'!$Q:$Q,$A23,'MAIN DATA, Orders'!$C:$C,"Germany",'MAIN DATA, Orders'!$G:$G,"Maintenance")/1000000000)</f>
        <v>4.2000000000000003E-2</v>
      </c>
      <c r="V23" s="61">
        <f>(SUMIFS('MAIN DATA, Orders'!$M:$M,'MAIN DATA, Orders'!$Q:$Q,$A23,'MAIN DATA, Orders'!$C:$C,"Germany",'MAIN DATA, Orders'!$G:$G,"Development - Maintenance")/1000000000)</f>
        <v>0</v>
      </c>
      <c r="W23" s="61">
        <f>(SUMIFS('MAIN DATA, Orders'!$M:$M,'MAIN DATA, Orders'!$Q:$Q,$A23,'MAIN DATA, Orders'!$C:$C,"Germany",'MAIN DATA, Orders'!$G:$G,"Mine")/1000000000)</f>
        <v>0</v>
      </c>
      <c r="X23" s="61">
        <f>(SUMIFS('MAIN DATA, Orders'!$M:$M,'MAIN DATA, Orders'!$Q:$Q,$A23,'MAIN DATA, Orders'!$C:$C,"Germany",'MAIN DATA, Orders'!$G:$G,"Development - Mine")/1000000000)</f>
        <v>0</v>
      </c>
      <c r="Y23" s="61">
        <f>(SUMIFS('MAIN DATA, Orders'!$M:$M,'MAIN DATA, Orders'!$Q:$Q,$A23,'MAIN DATA, Orders'!$C:$C,"Germany",'MAIN DATA, Orders'!$H:$H,"6")/1000000000)</f>
        <v>0</v>
      </c>
      <c r="Z23" s="61" cm="1">
        <f t="array" ref="Z23">SUM(SUMIFS('MAIN DATA, Orders'!$M:$M,'MAIN DATA, Orders'!$Q:$Q,$A23,'MAIN DATA, Orders'!$C:$C,"Germany",'MAIN DATA, Orders'!$G:$G,{"Development - Missile (Land)","Development - Missile (Naval)","Development - Missile (Air)"})/1000000000)</f>
        <v>0</v>
      </c>
      <c r="AA23" s="61">
        <f>(SUMIFS('MAIN DATA, Orders'!$M:$M,'MAIN DATA, Orders'!$Q:$Q,$A23,'MAIN DATA, Orders'!$C:$C,"Germany",'MAIN DATA, Orders'!$G:$G,"Modernisation")/1000000000)</f>
        <v>2.331</v>
      </c>
      <c r="AB23" s="61">
        <f>(SUMIFS('MAIN DATA, Orders'!$M:$M,'MAIN DATA, Orders'!$Q:$Q,$A23,'MAIN DATA, Orders'!$C:$C,"Germany",'MAIN DATA, Orders'!$G:$G,"Development - Modernisation")/1000000000)</f>
        <v>0</v>
      </c>
      <c r="AC23" s="61">
        <f>(SUMIFS('MAIN DATA, Orders'!$M:$M,'MAIN DATA, Orders'!$Q:$Q,$A23,'MAIN DATA, Orders'!$C:$C,"Germany",'MAIN DATA, Orders'!$G:$G,"Naval")/1000000000)</f>
        <v>0</v>
      </c>
      <c r="AD23" s="61">
        <f>(SUMIFS('MAIN DATA, Orders'!$M:$M,'MAIN DATA, Orders'!$Q:$Q,$A23,'MAIN DATA, Orders'!$C:$C,"Germany",'MAIN DATA, Orders'!$G:$G,"Development - Naval")/1000000000)</f>
        <v>0</v>
      </c>
      <c r="AE23" s="61">
        <f>(SUMIFS('MAIN DATA, Orders'!$M:$M,'MAIN DATA, Orders'!$Q:$Q,$A23,'MAIN DATA, Orders'!$C:$C,"Germany",'MAIN DATA, Orders'!$G:$G,"Other")/1000000000)</f>
        <v>2.9000000000000001E-2</v>
      </c>
      <c r="AF23" s="61">
        <f>(SUMIFS('MAIN DATA, Orders'!$M:$M,'MAIN DATA, Orders'!$Q:$Q,$A23,'MAIN DATA, Orders'!$C:$C,"Germany",'MAIN DATA, Orders'!$G:$G,"Development - Other")/1000000000)</f>
        <v>0</v>
      </c>
      <c r="AG23" s="61"/>
      <c r="AH23" s="61" cm="1">
        <f t="array" ref="AH23">SUM(SUMIFS('MAIN DATA, Orders'!$M:$M,'MAIN DATA, Orders'!$Q:$Q,$A23,'MAIN DATA, Orders'!$C:$C,"Germany",'MAIN DATA, Orders'!$G:$G,{"Missile (Land)","Development - Missile (Land)"})/1000000000)</f>
        <v>0</v>
      </c>
      <c r="AI23" s="61" cm="1">
        <f t="array" ref="AI23">SUM(SUMIFS('MAIN DATA, Orders'!$M:$M,'MAIN DATA, Orders'!$C:$C,"Germany",'MAIN DATA, Orders'!$G:$G,{"Missile (Air)","Development - Missile (Air)"},'MAIN DATA, Orders'!$Q:$Q,$A23)/1000000000)</f>
        <v>0</v>
      </c>
      <c r="AJ23" s="61" cm="1">
        <f t="array" ref="AJ23">SUM(SUMIFS('MAIN DATA, Orders'!$M:$M,'MAIN DATA, Orders'!$Q:$Q,$A23,'MAIN DATA, Orders'!$C:$C,"Germany",'MAIN DATA, Orders'!$G:$G,{"Missile (Naval)","Development - Missile (Naval)"})/1000000000)</f>
        <v>0</v>
      </c>
    </row>
    <row r="24" spans="1:36">
      <c r="A24" s="72">
        <v>18</v>
      </c>
      <c r="B24" s="68">
        <v>44348</v>
      </c>
      <c r="C24" s="61">
        <f>(SUMIFS('MAIN DATA, Orders'!$M:$M,'MAIN DATA, Orders'!$Q:$Q,$A24,'MAIN DATA, Orders'!$C:$C,"Germany",'MAIN DATA, Orders'!$G:$G,"Air defence system")/1000000000)</f>
        <v>0</v>
      </c>
      <c r="D24" s="61">
        <f>(SUMIFS('MAIN DATA, Orders'!$M:$M,'MAIN DATA, Orders'!$Q:$Q,$A24,'MAIN DATA, Orders'!$C:$C,"Germany",'MAIN DATA, Orders'!$G:$G,"Development - Air defence system")/1000000000)</f>
        <v>0</v>
      </c>
      <c r="E24" s="61">
        <f>(SUMIFS('MAIN DATA, Orders'!$M:$M,'MAIN DATA, Orders'!$Q:$Q,$A24,'MAIN DATA, Orders'!$C:$C,"Germany",'MAIN DATA, Orders'!$G:$G,"Aircraft")/1000000000)</f>
        <v>1.8129999999999999</v>
      </c>
      <c r="F24" s="61">
        <f>(SUMIFS('MAIN DATA, Orders'!$M:$M,'MAIN DATA, Orders'!$Q:$Q,$A24,'MAIN DATA, Orders'!$C:$C,"Germany",'MAIN DATA, Orders'!$G:$G,"Development - Aircraft")/1000000000)</f>
        <v>4.4000000000000004</v>
      </c>
      <c r="G24" s="61">
        <f>(SUMIFS('MAIN DATA, Orders'!$M:$M,'MAIN DATA, Orders'!$Q:$Q,$A24,'MAIN DATA, Orders'!$C:$C,"Germany",'MAIN DATA, Orders'!$G:$G,"Ammunition")/1000000000)</f>
        <v>5.1999999999999998E-2</v>
      </c>
      <c r="H24" s="61">
        <f>(SUMIFS('MAIN DATA, Orders'!$M:$M,'MAIN DATA, Orders'!$Q:$Q,$A24,'MAIN DATA, Orders'!$C:$C,"Germany",'MAIN DATA, Orders'!$G:$G,"Development - Ammunition")/1000000000)</f>
        <v>0</v>
      </c>
      <c r="I24" s="61">
        <f>(SUMIFS('MAIN DATA, Orders'!$M:$M,'MAIN DATA, Orders'!$Q:$Q,$A24,'MAIN DATA, Orders'!$C:$C,"Germany",'MAIN DATA, Orders'!$G:$G,"Armoured vehicle")/1000000000)</f>
        <v>1.079</v>
      </c>
      <c r="J24" s="61">
        <f>(SUMIFS('MAIN DATA, Orders'!$M:$M,'MAIN DATA, Orders'!$Q:$Q,$A24,'MAIN DATA, Orders'!$C:$C,"Germany",'MAIN DATA, Orders'!$G:$G,"Development - Armoured vehicle")/1000000000)</f>
        <v>7.0000000000000007E-2</v>
      </c>
      <c r="K24" s="61">
        <f>(SUMIFS('MAIN DATA, Orders'!$M:$M,'MAIN DATA, Orders'!$Q:$Q,$A24,'MAIN DATA, Orders'!$C:$C,"Germany",'MAIN DATA, Orders'!$G:$G,"Artillery")/1000000000)</f>
        <v>0</v>
      </c>
      <c r="L24" s="61">
        <f>(SUMIFS('MAIN DATA, Orders'!$M:$M,'MAIN DATA, Orders'!$Q:$Q,$A24,'MAIN DATA, Orders'!$C:$C,"Germany",'MAIN DATA, Orders'!$G:$G,"Development - Artillery")/1000000000)</f>
        <v>0</v>
      </c>
      <c r="M24" s="61">
        <f>(SUMIFS('MAIN DATA, Orders'!$M:$M,'MAIN DATA, Orders'!$Q:$Q,$A24,'MAIN DATA, Orders'!$C:$C,"Germany",'MAIN DATA, Orders'!$G:$G,"Drone")/1000000000)</f>
        <v>0</v>
      </c>
      <c r="N24" s="61">
        <f>(SUMIFS('MAIN DATA, Orders'!$M:$M,'MAIN DATA, Orders'!$Q:$Q,$A24,'MAIN DATA, Orders'!$C:$C,"Germany",'MAIN DATA, Orders'!$G:$G,"Development - Drone")/1000000000)</f>
        <v>0</v>
      </c>
      <c r="O24" s="61">
        <f>(SUMIFS('MAIN DATA, Orders'!$M:$M,'MAIN DATA, Orders'!$Q:$Q,$A24,'MAIN DATA, Orders'!$C:$C,"Germany",'MAIN DATA, Orders'!$G:$G,"Helicopter")/1000000000)</f>
        <v>0.11600000000000001</v>
      </c>
      <c r="P24" s="61">
        <f>(SUMIFS('MAIN DATA, Orders'!$M:$M,'MAIN DATA, Orders'!$Q:$Q,$A24,'MAIN DATA, Orders'!$C:$C,"Germany",'MAIN DATA, Orders'!$G:$G,"Development - Helicopter")/1000000000)</f>
        <v>0</v>
      </c>
      <c r="Q24" s="61">
        <f>(SUMIFS('MAIN DATA, Orders'!$M:$M,'MAIN DATA, Orders'!$Q:$Q,$A24,'MAIN DATA, Orders'!$C:$C,"Germany",'MAIN DATA, Orders'!$G:$G,"Infantry")/1000000000)</f>
        <v>3.0000000000000001E-3</v>
      </c>
      <c r="R24" s="61">
        <f>(SUMIFS('MAIN DATA, Orders'!$M:$M,'MAIN DATA, Orders'!$Q:$Q,$A24,'MAIN DATA, Orders'!$C:$C,"Germany",'MAIN DATA, Orders'!$G:$G,"Development - Infantry")/1000000000)</f>
        <v>0</v>
      </c>
      <c r="S24" s="61">
        <f>(SUMIFS('MAIN DATA, Orders'!$M:$M,'MAIN DATA, Orders'!$Q:$Q,$A24,'MAIN DATA, Orders'!$C:$C,"Germany",'MAIN DATA, Orders'!$G:$G,"Tank")/1000000000)</f>
        <v>0</v>
      </c>
      <c r="T24" s="61">
        <f>(SUMIFS('MAIN DATA, Orders'!$M:$M,'MAIN DATA, Orders'!$Q:$Q,$A24,'MAIN DATA, Orders'!$C:$C,"Germany",'MAIN DATA, Orders'!$G:$G,"Development - Tank")/1000000000)</f>
        <v>0</v>
      </c>
      <c r="U24" s="61">
        <f>(SUMIFS('MAIN DATA, Orders'!$M:$M,'MAIN DATA, Orders'!$Q:$Q,$A24,'MAIN DATA, Orders'!$C:$C,"Germany",'MAIN DATA, Orders'!$G:$G,"Maintenance")/1000000000)</f>
        <v>0</v>
      </c>
      <c r="V24" s="61">
        <f>(SUMIFS('MAIN DATA, Orders'!$M:$M,'MAIN DATA, Orders'!$Q:$Q,$A24,'MAIN DATA, Orders'!$C:$C,"Germany",'MAIN DATA, Orders'!$G:$G,"Development - Maintenance")/1000000000)</f>
        <v>0</v>
      </c>
      <c r="W24" s="61">
        <f>(SUMIFS('MAIN DATA, Orders'!$M:$M,'MAIN DATA, Orders'!$Q:$Q,$A24,'MAIN DATA, Orders'!$C:$C,"Germany",'MAIN DATA, Orders'!$G:$G,"Mine")/1000000000)</f>
        <v>0</v>
      </c>
      <c r="X24" s="61">
        <f>(SUMIFS('MAIN DATA, Orders'!$M:$M,'MAIN DATA, Orders'!$Q:$Q,$A24,'MAIN DATA, Orders'!$C:$C,"Germany",'MAIN DATA, Orders'!$G:$G,"Development - Mine")/1000000000)</f>
        <v>0</v>
      </c>
      <c r="Y24" s="61">
        <f>(SUMIFS('MAIN DATA, Orders'!$M:$M,'MAIN DATA, Orders'!$Q:$Q,$A24,'MAIN DATA, Orders'!$C:$C,"Germany",'MAIN DATA, Orders'!$H:$H,"6")/1000000000)</f>
        <v>0.42499999999999999</v>
      </c>
      <c r="Z24" s="61" cm="1">
        <f t="array" ref="Z24">SUM(SUMIFS('MAIN DATA, Orders'!$M:$M,'MAIN DATA, Orders'!$Q:$Q,$A24,'MAIN DATA, Orders'!$C:$C,"Germany",'MAIN DATA, Orders'!$G:$G,{"Development - Missile (Land)","Development - Missile (Naval)","Development - Missile (Air)"})/1000000000)</f>
        <v>0</v>
      </c>
      <c r="AA24" s="61">
        <f>(SUMIFS('MAIN DATA, Orders'!$M:$M,'MAIN DATA, Orders'!$Q:$Q,$A24,'MAIN DATA, Orders'!$C:$C,"Germany",'MAIN DATA, Orders'!$G:$G,"Modernisation")/1000000000)</f>
        <v>0.874</v>
      </c>
      <c r="AB24" s="61">
        <f>(SUMIFS('MAIN DATA, Orders'!$M:$M,'MAIN DATA, Orders'!$Q:$Q,$A24,'MAIN DATA, Orders'!$C:$C,"Germany",'MAIN DATA, Orders'!$G:$G,"Development - Modernisation")/1000000000)</f>
        <v>0</v>
      </c>
      <c r="AC24" s="61">
        <f>(SUMIFS('MAIN DATA, Orders'!$M:$M,'MAIN DATA, Orders'!$Q:$Q,$A24,'MAIN DATA, Orders'!$C:$C,"Germany",'MAIN DATA, Orders'!$G:$G,"Naval")/1000000000)</f>
        <v>7.0468780000000004</v>
      </c>
      <c r="AD24" s="61">
        <f>(SUMIFS('MAIN DATA, Orders'!$M:$M,'MAIN DATA, Orders'!$Q:$Q,$A24,'MAIN DATA, Orders'!$C:$C,"Germany",'MAIN DATA, Orders'!$G:$G,"Development - Naval")/1000000000)</f>
        <v>0</v>
      </c>
      <c r="AE24" s="61">
        <f>(SUMIFS('MAIN DATA, Orders'!$M:$M,'MAIN DATA, Orders'!$Q:$Q,$A24,'MAIN DATA, Orders'!$C:$C,"Germany",'MAIN DATA, Orders'!$G:$G,"Other")/1000000000)</f>
        <v>0.26800000000000002</v>
      </c>
      <c r="AF24" s="61">
        <f>(SUMIFS('MAIN DATA, Orders'!$M:$M,'MAIN DATA, Orders'!$Q:$Q,$A24,'MAIN DATA, Orders'!$C:$C,"Germany",'MAIN DATA, Orders'!$G:$G,"Development - Other")/1000000000)</f>
        <v>0</v>
      </c>
      <c r="AG24" s="61"/>
      <c r="AH24" s="61" cm="1">
        <f t="array" ref="AH24">SUM(SUMIFS('MAIN DATA, Orders'!$M:$M,'MAIN DATA, Orders'!$Q:$Q,$A24,'MAIN DATA, Orders'!$C:$C,"Germany",'MAIN DATA, Orders'!$G:$G,{"Missile (Land)","Development - Missile (Land)"})/1000000000)</f>
        <v>0</v>
      </c>
      <c r="AI24" s="61" cm="1">
        <f t="array" ref="AI24">SUM(SUMIFS('MAIN DATA, Orders'!$M:$M,'MAIN DATA, Orders'!$C:$C,"Germany",'MAIN DATA, Orders'!$G:$G,{"Missile (Air)","Development - Missile (Air)"},'MAIN DATA, Orders'!$Q:$Q,$A24)/1000000000)</f>
        <v>0</v>
      </c>
      <c r="AJ24" s="61" cm="1">
        <f t="array" ref="AJ24">SUM(SUMIFS('MAIN DATA, Orders'!$M:$M,'MAIN DATA, Orders'!$Q:$Q,$A24,'MAIN DATA, Orders'!$C:$C,"Germany",'MAIN DATA, Orders'!$G:$G,{"Missile (Naval)","Development - Missile (Naval)"})/1000000000)</f>
        <v>0.42499999999999999</v>
      </c>
    </row>
    <row r="25" spans="1:36">
      <c r="A25" s="72">
        <v>19</v>
      </c>
      <c r="B25" s="68">
        <v>44378</v>
      </c>
      <c r="C25" s="61">
        <f>(SUMIFS('MAIN DATA, Orders'!$M:$M,'MAIN DATA, Orders'!$Q:$Q,$A25,'MAIN DATA, Orders'!$C:$C,"Germany",'MAIN DATA, Orders'!$G:$G,"Air defence system")/1000000000)</f>
        <v>0</v>
      </c>
      <c r="D25" s="61">
        <f>(SUMIFS('MAIN DATA, Orders'!$M:$M,'MAIN DATA, Orders'!$Q:$Q,$A25,'MAIN DATA, Orders'!$C:$C,"Germany",'MAIN DATA, Orders'!$G:$G,"Development - Air defence system")/1000000000)</f>
        <v>0</v>
      </c>
      <c r="E25" s="61">
        <f>(SUMIFS('MAIN DATA, Orders'!$M:$M,'MAIN DATA, Orders'!$Q:$Q,$A25,'MAIN DATA, Orders'!$C:$C,"Germany",'MAIN DATA, Orders'!$G:$G,"Aircraft")/1000000000)</f>
        <v>0</v>
      </c>
      <c r="F25" s="61">
        <f>(SUMIFS('MAIN DATA, Orders'!$M:$M,'MAIN DATA, Orders'!$Q:$Q,$A25,'MAIN DATA, Orders'!$C:$C,"Germany",'MAIN DATA, Orders'!$G:$G,"Development - Aircraft")/1000000000)</f>
        <v>0</v>
      </c>
      <c r="G25" s="61">
        <f>(SUMIFS('MAIN DATA, Orders'!$M:$M,'MAIN DATA, Orders'!$Q:$Q,$A25,'MAIN DATA, Orders'!$C:$C,"Germany",'MAIN DATA, Orders'!$G:$G,"Ammunition")/1000000000)</f>
        <v>0</v>
      </c>
      <c r="H25" s="61">
        <f>(SUMIFS('MAIN DATA, Orders'!$M:$M,'MAIN DATA, Orders'!$Q:$Q,$A25,'MAIN DATA, Orders'!$C:$C,"Germany",'MAIN DATA, Orders'!$G:$G,"Development - Ammunition")/1000000000)</f>
        <v>0</v>
      </c>
      <c r="I25" s="61">
        <f>(SUMIFS('MAIN DATA, Orders'!$M:$M,'MAIN DATA, Orders'!$Q:$Q,$A25,'MAIN DATA, Orders'!$C:$C,"Germany",'MAIN DATA, Orders'!$G:$G,"Armoured vehicle")/1000000000)</f>
        <v>0</v>
      </c>
      <c r="J25" s="61">
        <f>(SUMIFS('MAIN DATA, Orders'!$M:$M,'MAIN DATA, Orders'!$Q:$Q,$A25,'MAIN DATA, Orders'!$C:$C,"Germany",'MAIN DATA, Orders'!$G:$G,"Development - Armoured vehicle")/1000000000)</f>
        <v>0</v>
      </c>
      <c r="K25" s="61">
        <f>(SUMIFS('MAIN DATA, Orders'!$M:$M,'MAIN DATA, Orders'!$Q:$Q,$A25,'MAIN DATA, Orders'!$C:$C,"Germany",'MAIN DATA, Orders'!$G:$G,"Artillery")/1000000000)</f>
        <v>0</v>
      </c>
      <c r="L25" s="61">
        <f>(SUMIFS('MAIN DATA, Orders'!$M:$M,'MAIN DATA, Orders'!$Q:$Q,$A25,'MAIN DATA, Orders'!$C:$C,"Germany",'MAIN DATA, Orders'!$G:$G,"Development - Artillery")/1000000000)</f>
        <v>0</v>
      </c>
      <c r="M25" s="61">
        <f>(SUMIFS('MAIN DATA, Orders'!$M:$M,'MAIN DATA, Orders'!$Q:$Q,$A25,'MAIN DATA, Orders'!$C:$C,"Germany",'MAIN DATA, Orders'!$G:$G,"Drone")/1000000000)</f>
        <v>0</v>
      </c>
      <c r="N25" s="61">
        <f>(SUMIFS('MAIN DATA, Orders'!$M:$M,'MAIN DATA, Orders'!$Q:$Q,$A25,'MAIN DATA, Orders'!$C:$C,"Germany",'MAIN DATA, Orders'!$G:$G,"Development - Drone")/1000000000)</f>
        <v>0</v>
      </c>
      <c r="O25" s="61">
        <f>(SUMIFS('MAIN DATA, Orders'!$M:$M,'MAIN DATA, Orders'!$Q:$Q,$A25,'MAIN DATA, Orders'!$C:$C,"Germany",'MAIN DATA, Orders'!$G:$G,"Helicopter")/1000000000)</f>
        <v>0</v>
      </c>
      <c r="P25" s="61">
        <f>(SUMIFS('MAIN DATA, Orders'!$M:$M,'MAIN DATA, Orders'!$Q:$Q,$A25,'MAIN DATA, Orders'!$C:$C,"Germany",'MAIN DATA, Orders'!$G:$G,"Development - Helicopter")/1000000000)</f>
        <v>0</v>
      </c>
      <c r="Q25" s="61">
        <f>(SUMIFS('MAIN DATA, Orders'!$M:$M,'MAIN DATA, Orders'!$Q:$Q,$A25,'MAIN DATA, Orders'!$C:$C,"Germany",'MAIN DATA, Orders'!$G:$G,"Infantry")/1000000000)</f>
        <v>0</v>
      </c>
      <c r="R25" s="61">
        <f>(SUMIFS('MAIN DATA, Orders'!$M:$M,'MAIN DATA, Orders'!$Q:$Q,$A25,'MAIN DATA, Orders'!$C:$C,"Germany",'MAIN DATA, Orders'!$G:$G,"Development - Infantry")/1000000000)</f>
        <v>0</v>
      </c>
      <c r="S25" s="61">
        <f>(SUMIFS('MAIN DATA, Orders'!$M:$M,'MAIN DATA, Orders'!$Q:$Q,$A25,'MAIN DATA, Orders'!$C:$C,"Germany",'MAIN DATA, Orders'!$G:$G,"Tank")/1000000000)</f>
        <v>0</v>
      </c>
      <c r="T25" s="61">
        <f>(SUMIFS('MAIN DATA, Orders'!$M:$M,'MAIN DATA, Orders'!$Q:$Q,$A25,'MAIN DATA, Orders'!$C:$C,"Germany",'MAIN DATA, Orders'!$G:$G,"Development - Tank")/1000000000)</f>
        <v>0</v>
      </c>
      <c r="U25" s="61">
        <f>(SUMIFS('MAIN DATA, Orders'!$M:$M,'MAIN DATA, Orders'!$Q:$Q,$A25,'MAIN DATA, Orders'!$C:$C,"Germany",'MAIN DATA, Orders'!$G:$G,"Maintenance")/1000000000)</f>
        <v>0</v>
      </c>
      <c r="V25" s="61">
        <f>(SUMIFS('MAIN DATA, Orders'!$M:$M,'MAIN DATA, Orders'!$Q:$Q,$A25,'MAIN DATA, Orders'!$C:$C,"Germany",'MAIN DATA, Orders'!$G:$G,"Development - Maintenance")/1000000000)</f>
        <v>0</v>
      </c>
      <c r="W25" s="61">
        <f>(SUMIFS('MAIN DATA, Orders'!$M:$M,'MAIN DATA, Orders'!$Q:$Q,$A25,'MAIN DATA, Orders'!$C:$C,"Germany",'MAIN DATA, Orders'!$G:$G,"Mine")/1000000000)</f>
        <v>0</v>
      </c>
      <c r="X25" s="61">
        <f>(SUMIFS('MAIN DATA, Orders'!$M:$M,'MAIN DATA, Orders'!$Q:$Q,$A25,'MAIN DATA, Orders'!$C:$C,"Germany",'MAIN DATA, Orders'!$G:$G,"Development - Mine")/1000000000)</f>
        <v>0</v>
      </c>
      <c r="Y25" s="61">
        <f>(SUMIFS('MAIN DATA, Orders'!$M:$M,'MAIN DATA, Orders'!$Q:$Q,$A25,'MAIN DATA, Orders'!$C:$C,"Germany",'MAIN DATA, Orders'!$H:$H,"6")/1000000000)</f>
        <v>0</v>
      </c>
      <c r="Z25" s="61" cm="1">
        <f t="array" ref="Z25">SUM(SUMIFS('MAIN DATA, Orders'!$M:$M,'MAIN DATA, Orders'!$Q:$Q,$A25,'MAIN DATA, Orders'!$C:$C,"Germany",'MAIN DATA, Orders'!$G:$G,{"Development - Missile (Land)","Development - Missile (Naval)","Development - Missile (Air)"})/1000000000)</f>
        <v>0</v>
      </c>
      <c r="AA25" s="61">
        <f>(SUMIFS('MAIN DATA, Orders'!$M:$M,'MAIN DATA, Orders'!$Q:$Q,$A25,'MAIN DATA, Orders'!$C:$C,"Germany",'MAIN DATA, Orders'!$G:$G,"Modernisation")/1000000000)</f>
        <v>0</v>
      </c>
      <c r="AB25" s="61">
        <f>(SUMIFS('MAIN DATA, Orders'!$M:$M,'MAIN DATA, Orders'!$Q:$Q,$A25,'MAIN DATA, Orders'!$C:$C,"Germany",'MAIN DATA, Orders'!$G:$G,"Development - Modernisation")/1000000000)</f>
        <v>0</v>
      </c>
      <c r="AC25" s="61">
        <f>(SUMIFS('MAIN DATA, Orders'!$M:$M,'MAIN DATA, Orders'!$Q:$Q,$A25,'MAIN DATA, Orders'!$C:$C,"Germany",'MAIN DATA, Orders'!$G:$G,"Naval")/1000000000)</f>
        <v>0</v>
      </c>
      <c r="AD25" s="61">
        <f>(SUMIFS('MAIN DATA, Orders'!$M:$M,'MAIN DATA, Orders'!$Q:$Q,$A25,'MAIN DATA, Orders'!$C:$C,"Germany",'MAIN DATA, Orders'!$G:$G,"Development - Naval")/1000000000)</f>
        <v>0</v>
      </c>
      <c r="AE25" s="61">
        <f>(SUMIFS('MAIN DATA, Orders'!$M:$M,'MAIN DATA, Orders'!$Q:$Q,$A25,'MAIN DATA, Orders'!$C:$C,"Germany",'MAIN DATA, Orders'!$G:$G,"Other")/1000000000)</f>
        <v>0</v>
      </c>
      <c r="AF25" s="61">
        <f>(SUMIFS('MAIN DATA, Orders'!$M:$M,'MAIN DATA, Orders'!$Q:$Q,$A25,'MAIN DATA, Orders'!$C:$C,"Germany",'MAIN DATA, Orders'!$G:$G,"Development - Other")/1000000000)</f>
        <v>0</v>
      </c>
      <c r="AG25" s="61"/>
      <c r="AH25" s="61" cm="1">
        <f t="array" ref="AH25">SUM(SUMIFS('MAIN DATA, Orders'!$M:$M,'MAIN DATA, Orders'!$Q:$Q,$A25,'MAIN DATA, Orders'!$C:$C,"Germany",'MAIN DATA, Orders'!$G:$G,{"Missile (Land)","Development - Missile (Land)"})/1000000000)</f>
        <v>0</v>
      </c>
      <c r="AI25" s="61" cm="1">
        <f t="array" ref="AI25">SUM(SUMIFS('MAIN DATA, Orders'!$M:$M,'MAIN DATA, Orders'!$C:$C,"Germany",'MAIN DATA, Orders'!$G:$G,{"Missile (Air)","Development - Missile (Air)"},'MAIN DATA, Orders'!$Q:$Q,$A25)/1000000000)</f>
        <v>0</v>
      </c>
      <c r="AJ25" s="61" cm="1">
        <f t="array" ref="AJ25">SUM(SUMIFS('MAIN DATA, Orders'!$M:$M,'MAIN DATA, Orders'!$Q:$Q,$A25,'MAIN DATA, Orders'!$C:$C,"Germany",'MAIN DATA, Orders'!$G:$G,{"Missile (Naval)","Development - Missile (Naval)"})/1000000000)</f>
        <v>0</v>
      </c>
    </row>
    <row r="26" spans="1:36">
      <c r="A26" s="72">
        <v>20</v>
      </c>
      <c r="B26" s="68">
        <v>44409</v>
      </c>
      <c r="C26" s="61">
        <f>(SUMIFS('MAIN DATA, Orders'!$M:$M,'MAIN DATA, Orders'!$Q:$Q,$A26,'MAIN DATA, Orders'!$C:$C,"Germany",'MAIN DATA, Orders'!$G:$G,"Air defence system")/1000000000)</f>
        <v>0</v>
      </c>
      <c r="D26" s="61">
        <f>(SUMIFS('MAIN DATA, Orders'!$M:$M,'MAIN DATA, Orders'!$Q:$Q,$A26,'MAIN DATA, Orders'!$C:$C,"Germany",'MAIN DATA, Orders'!$G:$G,"Development - Air defence system")/1000000000)</f>
        <v>0</v>
      </c>
      <c r="E26" s="61">
        <f>(SUMIFS('MAIN DATA, Orders'!$M:$M,'MAIN DATA, Orders'!$Q:$Q,$A26,'MAIN DATA, Orders'!$C:$C,"Germany",'MAIN DATA, Orders'!$G:$G,"Aircraft")/1000000000)</f>
        <v>0</v>
      </c>
      <c r="F26" s="61">
        <f>(SUMIFS('MAIN DATA, Orders'!$M:$M,'MAIN DATA, Orders'!$Q:$Q,$A26,'MAIN DATA, Orders'!$C:$C,"Germany",'MAIN DATA, Orders'!$G:$G,"Development - Aircraft")/1000000000)</f>
        <v>0</v>
      </c>
      <c r="G26" s="61">
        <f>(SUMIFS('MAIN DATA, Orders'!$M:$M,'MAIN DATA, Orders'!$Q:$Q,$A26,'MAIN DATA, Orders'!$C:$C,"Germany",'MAIN DATA, Orders'!$G:$G,"Ammunition")/1000000000)</f>
        <v>0</v>
      </c>
      <c r="H26" s="61">
        <f>(SUMIFS('MAIN DATA, Orders'!$M:$M,'MAIN DATA, Orders'!$Q:$Q,$A26,'MAIN DATA, Orders'!$C:$C,"Germany",'MAIN DATA, Orders'!$G:$G,"Development - Ammunition")/1000000000)</f>
        <v>0</v>
      </c>
      <c r="I26" s="61">
        <f>(SUMIFS('MAIN DATA, Orders'!$M:$M,'MAIN DATA, Orders'!$Q:$Q,$A26,'MAIN DATA, Orders'!$C:$C,"Germany",'MAIN DATA, Orders'!$G:$G,"Armoured vehicle")/1000000000)</f>
        <v>0</v>
      </c>
      <c r="J26" s="61">
        <f>(SUMIFS('MAIN DATA, Orders'!$M:$M,'MAIN DATA, Orders'!$Q:$Q,$A26,'MAIN DATA, Orders'!$C:$C,"Germany",'MAIN DATA, Orders'!$G:$G,"Development - Armoured vehicle")/1000000000)</f>
        <v>0</v>
      </c>
      <c r="K26" s="61">
        <f>(SUMIFS('MAIN DATA, Orders'!$M:$M,'MAIN DATA, Orders'!$Q:$Q,$A26,'MAIN DATA, Orders'!$C:$C,"Germany",'MAIN DATA, Orders'!$G:$G,"Artillery")/1000000000)</f>
        <v>0</v>
      </c>
      <c r="L26" s="61">
        <f>(SUMIFS('MAIN DATA, Orders'!$M:$M,'MAIN DATA, Orders'!$Q:$Q,$A26,'MAIN DATA, Orders'!$C:$C,"Germany",'MAIN DATA, Orders'!$G:$G,"Development - Artillery")/1000000000)</f>
        <v>0</v>
      </c>
      <c r="M26" s="61">
        <f>(SUMIFS('MAIN DATA, Orders'!$M:$M,'MAIN DATA, Orders'!$Q:$Q,$A26,'MAIN DATA, Orders'!$C:$C,"Germany",'MAIN DATA, Orders'!$G:$G,"Drone")/1000000000)</f>
        <v>0</v>
      </c>
      <c r="N26" s="61">
        <f>(SUMIFS('MAIN DATA, Orders'!$M:$M,'MAIN DATA, Orders'!$Q:$Q,$A26,'MAIN DATA, Orders'!$C:$C,"Germany",'MAIN DATA, Orders'!$G:$G,"Development - Drone")/1000000000)</f>
        <v>0</v>
      </c>
      <c r="O26" s="61">
        <f>(SUMIFS('MAIN DATA, Orders'!$M:$M,'MAIN DATA, Orders'!$Q:$Q,$A26,'MAIN DATA, Orders'!$C:$C,"Germany",'MAIN DATA, Orders'!$G:$G,"Helicopter")/1000000000)</f>
        <v>0</v>
      </c>
      <c r="P26" s="61">
        <f>(SUMIFS('MAIN DATA, Orders'!$M:$M,'MAIN DATA, Orders'!$Q:$Q,$A26,'MAIN DATA, Orders'!$C:$C,"Germany",'MAIN DATA, Orders'!$G:$G,"Development - Helicopter")/1000000000)</f>
        <v>0</v>
      </c>
      <c r="Q26" s="61">
        <f>(SUMIFS('MAIN DATA, Orders'!$M:$M,'MAIN DATA, Orders'!$Q:$Q,$A26,'MAIN DATA, Orders'!$C:$C,"Germany",'MAIN DATA, Orders'!$G:$G,"Infantry")/1000000000)</f>
        <v>0</v>
      </c>
      <c r="R26" s="61">
        <f>(SUMIFS('MAIN DATA, Orders'!$M:$M,'MAIN DATA, Orders'!$Q:$Q,$A26,'MAIN DATA, Orders'!$C:$C,"Germany",'MAIN DATA, Orders'!$G:$G,"Development - Infantry")/1000000000)</f>
        <v>0</v>
      </c>
      <c r="S26" s="61">
        <f>(SUMIFS('MAIN DATA, Orders'!$M:$M,'MAIN DATA, Orders'!$Q:$Q,$A26,'MAIN DATA, Orders'!$C:$C,"Germany",'MAIN DATA, Orders'!$G:$G,"Tank")/1000000000)</f>
        <v>0</v>
      </c>
      <c r="T26" s="61">
        <f>(SUMIFS('MAIN DATA, Orders'!$M:$M,'MAIN DATA, Orders'!$Q:$Q,$A26,'MAIN DATA, Orders'!$C:$C,"Germany",'MAIN DATA, Orders'!$G:$G,"Development - Tank")/1000000000)</f>
        <v>0</v>
      </c>
      <c r="U26" s="61">
        <f>(SUMIFS('MAIN DATA, Orders'!$M:$M,'MAIN DATA, Orders'!$Q:$Q,$A26,'MAIN DATA, Orders'!$C:$C,"Germany",'MAIN DATA, Orders'!$G:$G,"Maintenance")/1000000000)</f>
        <v>0</v>
      </c>
      <c r="V26" s="61">
        <f>(SUMIFS('MAIN DATA, Orders'!$M:$M,'MAIN DATA, Orders'!$Q:$Q,$A26,'MAIN DATA, Orders'!$C:$C,"Germany",'MAIN DATA, Orders'!$G:$G,"Development - Maintenance")/1000000000)</f>
        <v>0</v>
      </c>
      <c r="W26" s="61">
        <f>(SUMIFS('MAIN DATA, Orders'!$M:$M,'MAIN DATA, Orders'!$Q:$Q,$A26,'MAIN DATA, Orders'!$C:$C,"Germany",'MAIN DATA, Orders'!$G:$G,"Mine")/1000000000)</f>
        <v>0</v>
      </c>
      <c r="X26" s="61">
        <f>(SUMIFS('MAIN DATA, Orders'!$M:$M,'MAIN DATA, Orders'!$Q:$Q,$A26,'MAIN DATA, Orders'!$C:$C,"Germany",'MAIN DATA, Orders'!$G:$G,"Development - Mine")/1000000000)</f>
        <v>0</v>
      </c>
      <c r="Y26" s="61">
        <f>(SUMIFS('MAIN DATA, Orders'!$M:$M,'MAIN DATA, Orders'!$Q:$Q,$A26,'MAIN DATA, Orders'!$C:$C,"Germany",'MAIN DATA, Orders'!$H:$H,"6")/1000000000)</f>
        <v>0</v>
      </c>
      <c r="Z26" s="61" cm="1">
        <f t="array" ref="Z26">SUM(SUMIFS('MAIN DATA, Orders'!$M:$M,'MAIN DATA, Orders'!$Q:$Q,$A26,'MAIN DATA, Orders'!$C:$C,"Germany",'MAIN DATA, Orders'!$G:$G,{"Development - Missile (Land)","Development - Missile (Naval)","Development - Missile (Air)"})/1000000000)</f>
        <v>0</v>
      </c>
      <c r="AA26" s="61">
        <f>(SUMIFS('MAIN DATA, Orders'!$M:$M,'MAIN DATA, Orders'!$Q:$Q,$A26,'MAIN DATA, Orders'!$C:$C,"Germany",'MAIN DATA, Orders'!$G:$G,"Modernisation")/1000000000)</f>
        <v>0</v>
      </c>
      <c r="AB26" s="61">
        <f>(SUMIFS('MAIN DATA, Orders'!$M:$M,'MAIN DATA, Orders'!$Q:$Q,$A26,'MAIN DATA, Orders'!$C:$C,"Germany",'MAIN DATA, Orders'!$G:$G,"Development - Modernisation")/1000000000)</f>
        <v>0</v>
      </c>
      <c r="AC26" s="61">
        <f>(SUMIFS('MAIN DATA, Orders'!$M:$M,'MAIN DATA, Orders'!$Q:$Q,$A26,'MAIN DATA, Orders'!$C:$C,"Germany",'MAIN DATA, Orders'!$G:$G,"Naval")/1000000000)</f>
        <v>0</v>
      </c>
      <c r="AD26" s="61">
        <f>(SUMIFS('MAIN DATA, Orders'!$M:$M,'MAIN DATA, Orders'!$Q:$Q,$A26,'MAIN DATA, Orders'!$C:$C,"Germany",'MAIN DATA, Orders'!$G:$G,"Development - Naval")/1000000000)</f>
        <v>0</v>
      </c>
      <c r="AE26" s="61">
        <f>(SUMIFS('MAIN DATA, Orders'!$M:$M,'MAIN DATA, Orders'!$Q:$Q,$A26,'MAIN DATA, Orders'!$C:$C,"Germany",'MAIN DATA, Orders'!$G:$G,"Other")/1000000000)</f>
        <v>0</v>
      </c>
      <c r="AF26" s="61">
        <f>(SUMIFS('MAIN DATA, Orders'!$M:$M,'MAIN DATA, Orders'!$Q:$Q,$A26,'MAIN DATA, Orders'!$C:$C,"Germany",'MAIN DATA, Orders'!$G:$G,"Development - Other")/1000000000)</f>
        <v>0</v>
      </c>
      <c r="AG26" s="61"/>
      <c r="AH26" s="61" cm="1">
        <f t="array" ref="AH26">SUM(SUMIFS('MAIN DATA, Orders'!$M:$M,'MAIN DATA, Orders'!$Q:$Q,$A26,'MAIN DATA, Orders'!$C:$C,"Germany",'MAIN DATA, Orders'!$G:$G,{"Missile (Land)","Development - Missile (Land)"})/1000000000)</f>
        <v>0</v>
      </c>
      <c r="AI26" s="61" cm="1">
        <f t="array" ref="AI26">SUM(SUMIFS('MAIN DATA, Orders'!$M:$M,'MAIN DATA, Orders'!$C:$C,"Germany",'MAIN DATA, Orders'!$G:$G,{"Missile (Air)","Development - Missile (Air)"},'MAIN DATA, Orders'!$Q:$Q,$A26)/1000000000)</f>
        <v>0</v>
      </c>
      <c r="AJ26" s="61" cm="1">
        <f t="array" ref="AJ26">SUM(SUMIFS('MAIN DATA, Orders'!$M:$M,'MAIN DATA, Orders'!$Q:$Q,$A26,'MAIN DATA, Orders'!$C:$C,"Germany",'MAIN DATA, Orders'!$G:$G,{"Missile (Naval)","Development - Missile (Naval)"})/1000000000)</f>
        <v>0</v>
      </c>
    </row>
    <row r="27" spans="1:36">
      <c r="A27" s="72">
        <v>21</v>
      </c>
      <c r="B27" s="68">
        <v>44440</v>
      </c>
      <c r="C27" s="61">
        <f>(SUMIFS('MAIN DATA, Orders'!$M:$M,'MAIN DATA, Orders'!$Q:$Q,$A27,'MAIN DATA, Orders'!$C:$C,"Germany",'MAIN DATA, Orders'!$G:$G,"Air defence system")/1000000000)</f>
        <v>0</v>
      </c>
      <c r="D27" s="61">
        <f>(SUMIFS('MAIN DATA, Orders'!$M:$M,'MAIN DATA, Orders'!$Q:$Q,$A27,'MAIN DATA, Orders'!$C:$C,"Germany",'MAIN DATA, Orders'!$G:$G,"Development - Air defence system")/1000000000)</f>
        <v>0</v>
      </c>
      <c r="E27" s="61">
        <f>(SUMIFS('MAIN DATA, Orders'!$M:$M,'MAIN DATA, Orders'!$Q:$Q,$A27,'MAIN DATA, Orders'!$C:$C,"Germany",'MAIN DATA, Orders'!$G:$G,"Aircraft")/1000000000)</f>
        <v>0</v>
      </c>
      <c r="F27" s="61">
        <f>(SUMIFS('MAIN DATA, Orders'!$M:$M,'MAIN DATA, Orders'!$Q:$Q,$A27,'MAIN DATA, Orders'!$C:$C,"Germany",'MAIN DATA, Orders'!$G:$G,"Development - Aircraft")/1000000000)</f>
        <v>0</v>
      </c>
      <c r="G27" s="61">
        <f>(SUMIFS('MAIN DATA, Orders'!$M:$M,'MAIN DATA, Orders'!$Q:$Q,$A27,'MAIN DATA, Orders'!$C:$C,"Germany",'MAIN DATA, Orders'!$G:$G,"Ammunition")/1000000000)</f>
        <v>0</v>
      </c>
      <c r="H27" s="61">
        <f>(SUMIFS('MAIN DATA, Orders'!$M:$M,'MAIN DATA, Orders'!$Q:$Q,$A27,'MAIN DATA, Orders'!$C:$C,"Germany",'MAIN DATA, Orders'!$G:$G,"Development - Ammunition")/1000000000)</f>
        <v>0</v>
      </c>
      <c r="I27" s="61">
        <f>(SUMIFS('MAIN DATA, Orders'!$M:$M,'MAIN DATA, Orders'!$Q:$Q,$A27,'MAIN DATA, Orders'!$C:$C,"Germany",'MAIN DATA, Orders'!$G:$G,"Armoured vehicle")/1000000000)</f>
        <v>0</v>
      </c>
      <c r="J27" s="61">
        <f>(SUMIFS('MAIN DATA, Orders'!$M:$M,'MAIN DATA, Orders'!$Q:$Q,$A27,'MAIN DATA, Orders'!$C:$C,"Germany",'MAIN DATA, Orders'!$G:$G,"Development - Armoured vehicle")/1000000000)</f>
        <v>0</v>
      </c>
      <c r="K27" s="61">
        <f>(SUMIFS('MAIN DATA, Orders'!$M:$M,'MAIN DATA, Orders'!$Q:$Q,$A27,'MAIN DATA, Orders'!$C:$C,"Germany",'MAIN DATA, Orders'!$G:$G,"Artillery")/1000000000)</f>
        <v>0</v>
      </c>
      <c r="L27" s="61">
        <f>(SUMIFS('MAIN DATA, Orders'!$M:$M,'MAIN DATA, Orders'!$Q:$Q,$A27,'MAIN DATA, Orders'!$C:$C,"Germany",'MAIN DATA, Orders'!$G:$G,"Development - Artillery")/1000000000)</f>
        <v>0</v>
      </c>
      <c r="M27" s="61">
        <f>(SUMIFS('MAIN DATA, Orders'!$M:$M,'MAIN DATA, Orders'!$Q:$Q,$A27,'MAIN DATA, Orders'!$C:$C,"Germany",'MAIN DATA, Orders'!$G:$G,"Drone")/1000000000)</f>
        <v>0</v>
      </c>
      <c r="N27" s="61">
        <f>(SUMIFS('MAIN DATA, Orders'!$M:$M,'MAIN DATA, Orders'!$Q:$Q,$A27,'MAIN DATA, Orders'!$C:$C,"Germany",'MAIN DATA, Orders'!$G:$G,"Development - Drone")/1000000000)</f>
        <v>0</v>
      </c>
      <c r="O27" s="61">
        <f>(SUMIFS('MAIN DATA, Orders'!$M:$M,'MAIN DATA, Orders'!$Q:$Q,$A27,'MAIN DATA, Orders'!$C:$C,"Germany",'MAIN DATA, Orders'!$G:$G,"Helicopter")/1000000000)</f>
        <v>0</v>
      </c>
      <c r="P27" s="61">
        <f>(SUMIFS('MAIN DATA, Orders'!$M:$M,'MAIN DATA, Orders'!$Q:$Q,$A27,'MAIN DATA, Orders'!$C:$C,"Germany",'MAIN DATA, Orders'!$G:$G,"Development - Helicopter")/1000000000)</f>
        <v>0</v>
      </c>
      <c r="Q27" s="61">
        <f>(SUMIFS('MAIN DATA, Orders'!$M:$M,'MAIN DATA, Orders'!$Q:$Q,$A27,'MAIN DATA, Orders'!$C:$C,"Germany",'MAIN DATA, Orders'!$G:$G,"Infantry")/1000000000)</f>
        <v>0</v>
      </c>
      <c r="R27" s="61">
        <f>(SUMIFS('MAIN DATA, Orders'!$M:$M,'MAIN DATA, Orders'!$Q:$Q,$A27,'MAIN DATA, Orders'!$C:$C,"Germany",'MAIN DATA, Orders'!$G:$G,"Development - Infantry")/1000000000)</f>
        <v>0</v>
      </c>
      <c r="S27" s="61">
        <f>(SUMIFS('MAIN DATA, Orders'!$M:$M,'MAIN DATA, Orders'!$Q:$Q,$A27,'MAIN DATA, Orders'!$C:$C,"Germany",'MAIN DATA, Orders'!$G:$G,"Tank")/1000000000)</f>
        <v>0</v>
      </c>
      <c r="T27" s="61">
        <f>(SUMIFS('MAIN DATA, Orders'!$M:$M,'MAIN DATA, Orders'!$Q:$Q,$A27,'MAIN DATA, Orders'!$C:$C,"Germany",'MAIN DATA, Orders'!$G:$G,"Development - Tank")/1000000000)</f>
        <v>0</v>
      </c>
      <c r="U27" s="61">
        <f>(SUMIFS('MAIN DATA, Orders'!$M:$M,'MAIN DATA, Orders'!$Q:$Q,$A27,'MAIN DATA, Orders'!$C:$C,"Germany",'MAIN DATA, Orders'!$G:$G,"Maintenance")/1000000000)</f>
        <v>0</v>
      </c>
      <c r="V27" s="61">
        <f>(SUMIFS('MAIN DATA, Orders'!$M:$M,'MAIN DATA, Orders'!$Q:$Q,$A27,'MAIN DATA, Orders'!$C:$C,"Germany",'MAIN DATA, Orders'!$G:$G,"Development - Maintenance")/1000000000)</f>
        <v>0</v>
      </c>
      <c r="W27" s="61">
        <f>(SUMIFS('MAIN DATA, Orders'!$M:$M,'MAIN DATA, Orders'!$Q:$Q,$A27,'MAIN DATA, Orders'!$C:$C,"Germany",'MAIN DATA, Orders'!$G:$G,"Mine")/1000000000)</f>
        <v>0</v>
      </c>
      <c r="X27" s="61">
        <f>(SUMIFS('MAIN DATA, Orders'!$M:$M,'MAIN DATA, Orders'!$Q:$Q,$A27,'MAIN DATA, Orders'!$C:$C,"Germany",'MAIN DATA, Orders'!$G:$G,"Development - Mine")/1000000000)</f>
        <v>0</v>
      </c>
      <c r="Y27" s="61">
        <f>(SUMIFS('MAIN DATA, Orders'!$M:$M,'MAIN DATA, Orders'!$Q:$Q,$A27,'MAIN DATA, Orders'!$C:$C,"Germany",'MAIN DATA, Orders'!$H:$H,"6")/1000000000)</f>
        <v>0</v>
      </c>
      <c r="Z27" s="61" cm="1">
        <f t="array" ref="Z27">SUM(SUMIFS('MAIN DATA, Orders'!$M:$M,'MAIN DATA, Orders'!$Q:$Q,$A27,'MAIN DATA, Orders'!$C:$C,"Germany",'MAIN DATA, Orders'!$G:$G,{"Development - Missile (Land)","Development - Missile (Naval)","Development - Missile (Air)"})/1000000000)</f>
        <v>0</v>
      </c>
      <c r="AA27" s="61">
        <f>(SUMIFS('MAIN DATA, Orders'!$M:$M,'MAIN DATA, Orders'!$Q:$Q,$A27,'MAIN DATA, Orders'!$C:$C,"Germany",'MAIN DATA, Orders'!$G:$G,"Modernisation")/1000000000)</f>
        <v>0</v>
      </c>
      <c r="AB27" s="61">
        <f>(SUMIFS('MAIN DATA, Orders'!$M:$M,'MAIN DATA, Orders'!$Q:$Q,$A27,'MAIN DATA, Orders'!$C:$C,"Germany",'MAIN DATA, Orders'!$G:$G,"Development - Modernisation")/1000000000)</f>
        <v>0</v>
      </c>
      <c r="AC27" s="61">
        <f>(SUMIFS('MAIN DATA, Orders'!$M:$M,'MAIN DATA, Orders'!$Q:$Q,$A27,'MAIN DATA, Orders'!$C:$C,"Germany",'MAIN DATA, Orders'!$G:$G,"Naval")/1000000000)</f>
        <v>0</v>
      </c>
      <c r="AD27" s="61">
        <f>(SUMIFS('MAIN DATA, Orders'!$M:$M,'MAIN DATA, Orders'!$Q:$Q,$A27,'MAIN DATA, Orders'!$C:$C,"Germany",'MAIN DATA, Orders'!$G:$G,"Development - Naval")/1000000000)</f>
        <v>0</v>
      </c>
      <c r="AE27" s="61">
        <f>(SUMIFS('MAIN DATA, Orders'!$M:$M,'MAIN DATA, Orders'!$Q:$Q,$A27,'MAIN DATA, Orders'!$C:$C,"Germany",'MAIN DATA, Orders'!$G:$G,"Other")/1000000000)</f>
        <v>0</v>
      </c>
      <c r="AF27" s="61">
        <f>(SUMIFS('MAIN DATA, Orders'!$M:$M,'MAIN DATA, Orders'!$Q:$Q,$A27,'MAIN DATA, Orders'!$C:$C,"Germany",'MAIN DATA, Orders'!$G:$G,"Development - Other")/1000000000)</f>
        <v>0</v>
      </c>
      <c r="AG27" s="61"/>
      <c r="AH27" s="61" cm="1">
        <f t="array" ref="AH27">SUM(SUMIFS('MAIN DATA, Orders'!$M:$M,'MAIN DATA, Orders'!$Q:$Q,$A27,'MAIN DATA, Orders'!$C:$C,"Germany",'MAIN DATA, Orders'!$G:$G,{"Missile (Land)","Development - Missile (Land)"})/1000000000)</f>
        <v>0</v>
      </c>
      <c r="AI27" s="61" cm="1">
        <f t="array" ref="AI27">SUM(SUMIFS('MAIN DATA, Orders'!$M:$M,'MAIN DATA, Orders'!$C:$C,"Germany",'MAIN DATA, Orders'!$G:$G,{"Missile (Air)","Development - Missile (Air)"},'MAIN DATA, Orders'!$Q:$Q,$A27)/1000000000)</f>
        <v>0</v>
      </c>
      <c r="AJ27" s="61" cm="1">
        <f t="array" ref="AJ27">SUM(SUMIFS('MAIN DATA, Orders'!$M:$M,'MAIN DATA, Orders'!$Q:$Q,$A27,'MAIN DATA, Orders'!$C:$C,"Germany",'MAIN DATA, Orders'!$G:$G,{"Missile (Naval)","Development - Missile (Naval)"})/1000000000)</f>
        <v>0</v>
      </c>
    </row>
    <row r="28" spans="1:36">
      <c r="A28" s="72">
        <v>22</v>
      </c>
      <c r="B28" s="68">
        <v>44470</v>
      </c>
      <c r="C28" s="61">
        <f>(SUMIFS('MAIN DATA, Orders'!$M:$M,'MAIN DATA, Orders'!$Q:$Q,$A28,'MAIN DATA, Orders'!$C:$C,"Germany",'MAIN DATA, Orders'!$G:$G,"Air defence system")/1000000000)</f>
        <v>0</v>
      </c>
      <c r="D28" s="61">
        <f>(SUMIFS('MAIN DATA, Orders'!$M:$M,'MAIN DATA, Orders'!$Q:$Q,$A28,'MAIN DATA, Orders'!$C:$C,"Germany",'MAIN DATA, Orders'!$G:$G,"Development - Air defence system")/1000000000)</f>
        <v>0</v>
      </c>
      <c r="E28" s="61">
        <f>(SUMIFS('MAIN DATA, Orders'!$M:$M,'MAIN DATA, Orders'!$Q:$Q,$A28,'MAIN DATA, Orders'!$C:$C,"Germany",'MAIN DATA, Orders'!$G:$G,"Aircraft")/1000000000)</f>
        <v>0</v>
      </c>
      <c r="F28" s="61">
        <f>(SUMIFS('MAIN DATA, Orders'!$M:$M,'MAIN DATA, Orders'!$Q:$Q,$A28,'MAIN DATA, Orders'!$C:$C,"Germany",'MAIN DATA, Orders'!$G:$G,"Development - Aircraft")/1000000000)</f>
        <v>0</v>
      </c>
      <c r="G28" s="61">
        <f>(SUMIFS('MAIN DATA, Orders'!$M:$M,'MAIN DATA, Orders'!$Q:$Q,$A28,'MAIN DATA, Orders'!$C:$C,"Germany",'MAIN DATA, Orders'!$G:$G,"Ammunition")/1000000000)</f>
        <v>0</v>
      </c>
      <c r="H28" s="61">
        <f>(SUMIFS('MAIN DATA, Orders'!$M:$M,'MAIN DATA, Orders'!$Q:$Q,$A28,'MAIN DATA, Orders'!$C:$C,"Germany",'MAIN DATA, Orders'!$G:$G,"Development - Ammunition")/1000000000)</f>
        <v>0</v>
      </c>
      <c r="I28" s="61">
        <f>(SUMIFS('MAIN DATA, Orders'!$M:$M,'MAIN DATA, Orders'!$Q:$Q,$A28,'MAIN DATA, Orders'!$C:$C,"Germany",'MAIN DATA, Orders'!$G:$G,"Armoured vehicle")/1000000000)</f>
        <v>0</v>
      </c>
      <c r="J28" s="61">
        <f>(SUMIFS('MAIN DATA, Orders'!$M:$M,'MAIN DATA, Orders'!$Q:$Q,$A28,'MAIN DATA, Orders'!$C:$C,"Germany",'MAIN DATA, Orders'!$G:$G,"Development - Armoured vehicle")/1000000000)</f>
        <v>0</v>
      </c>
      <c r="K28" s="61">
        <f>(SUMIFS('MAIN DATA, Orders'!$M:$M,'MAIN DATA, Orders'!$Q:$Q,$A28,'MAIN DATA, Orders'!$C:$C,"Germany",'MAIN DATA, Orders'!$G:$G,"Artillery")/1000000000)</f>
        <v>0</v>
      </c>
      <c r="L28" s="61">
        <f>(SUMIFS('MAIN DATA, Orders'!$M:$M,'MAIN DATA, Orders'!$Q:$Q,$A28,'MAIN DATA, Orders'!$C:$C,"Germany",'MAIN DATA, Orders'!$G:$G,"Development - Artillery")/1000000000)</f>
        <v>0</v>
      </c>
      <c r="M28" s="61">
        <f>(SUMIFS('MAIN DATA, Orders'!$M:$M,'MAIN DATA, Orders'!$Q:$Q,$A28,'MAIN DATA, Orders'!$C:$C,"Germany",'MAIN DATA, Orders'!$G:$G,"Drone")/1000000000)</f>
        <v>0</v>
      </c>
      <c r="N28" s="61">
        <f>(SUMIFS('MAIN DATA, Orders'!$M:$M,'MAIN DATA, Orders'!$Q:$Q,$A28,'MAIN DATA, Orders'!$C:$C,"Germany",'MAIN DATA, Orders'!$G:$G,"Development - Drone")/1000000000)</f>
        <v>0</v>
      </c>
      <c r="O28" s="61">
        <f>(SUMIFS('MAIN DATA, Orders'!$M:$M,'MAIN DATA, Orders'!$Q:$Q,$A28,'MAIN DATA, Orders'!$C:$C,"Germany",'MAIN DATA, Orders'!$G:$G,"Helicopter")/1000000000)</f>
        <v>0</v>
      </c>
      <c r="P28" s="61">
        <f>(SUMIFS('MAIN DATA, Orders'!$M:$M,'MAIN DATA, Orders'!$Q:$Q,$A28,'MAIN DATA, Orders'!$C:$C,"Germany",'MAIN DATA, Orders'!$G:$G,"Development - Helicopter")/1000000000)</f>
        <v>0</v>
      </c>
      <c r="Q28" s="61">
        <f>(SUMIFS('MAIN DATA, Orders'!$M:$M,'MAIN DATA, Orders'!$Q:$Q,$A28,'MAIN DATA, Orders'!$C:$C,"Germany",'MAIN DATA, Orders'!$G:$G,"Infantry")/1000000000)</f>
        <v>0</v>
      </c>
      <c r="R28" s="61">
        <f>(SUMIFS('MAIN DATA, Orders'!$M:$M,'MAIN DATA, Orders'!$Q:$Q,$A28,'MAIN DATA, Orders'!$C:$C,"Germany",'MAIN DATA, Orders'!$G:$G,"Development - Infantry")/1000000000)</f>
        <v>0</v>
      </c>
      <c r="S28" s="61">
        <f>(SUMIFS('MAIN DATA, Orders'!$M:$M,'MAIN DATA, Orders'!$Q:$Q,$A28,'MAIN DATA, Orders'!$C:$C,"Germany",'MAIN DATA, Orders'!$G:$G,"Tank")/1000000000)</f>
        <v>0</v>
      </c>
      <c r="T28" s="61">
        <f>(SUMIFS('MAIN DATA, Orders'!$M:$M,'MAIN DATA, Orders'!$Q:$Q,$A28,'MAIN DATA, Orders'!$C:$C,"Germany",'MAIN DATA, Orders'!$G:$G,"Development - Tank")/1000000000)</f>
        <v>0</v>
      </c>
      <c r="U28" s="61">
        <f>(SUMIFS('MAIN DATA, Orders'!$M:$M,'MAIN DATA, Orders'!$Q:$Q,$A28,'MAIN DATA, Orders'!$C:$C,"Germany",'MAIN DATA, Orders'!$G:$G,"Maintenance")/1000000000)</f>
        <v>0</v>
      </c>
      <c r="V28" s="61">
        <f>(SUMIFS('MAIN DATA, Orders'!$M:$M,'MAIN DATA, Orders'!$Q:$Q,$A28,'MAIN DATA, Orders'!$C:$C,"Germany",'MAIN DATA, Orders'!$G:$G,"Development - Maintenance")/1000000000)</f>
        <v>0</v>
      </c>
      <c r="W28" s="61">
        <f>(SUMIFS('MAIN DATA, Orders'!$M:$M,'MAIN DATA, Orders'!$Q:$Q,$A28,'MAIN DATA, Orders'!$C:$C,"Germany",'MAIN DATA, Orders'!$G:$G,"Mine")/1000000000)</f>
        <v>0</v>
      </c>
      <c r="X28" s="61">
        <f>(SUMIFS('MAIN DATA, Orders'!$M:$M,'MAIN DATA, Orders'!$Q:$Q,$A28,'MAIN DATA, Orders'!$C:$C,"Germany",'MAIN DATA, Orders'!$G:$G,"Development - Mine")/1000000000)</f>
        <v>0</v>
      </c>
      <c r="Y28" s="61">
        <f>(SUMIFS('MAIN DATA, Orders'!$M:$M,'MAIN DATA, Orders'!$Q:$Q,$A28,'MAIN DATA, Orders'!$C:$C,"Germany",'MAIN DATA, Orders'!$H:$H,"6")/1000000000)</f>
        <v>0</v>
      </c>
      <c r="Z28" s="61" cm="1">
        <f t="array" ref="Z28">SUM(SUMIFS('MAIN DATA, Orders'!$M:$M,'MAIN DATA, Orders'!$Q:$Q,$A28,'MAIN DATA, Orders'!$C:$C,"Germany",'MAIN DATA, Orders'!$G:$G,{"Development - Missile (Land)","Development - Missile (Naval)","Development - Missile (Air)"})/1000000000)</f>
        <v>0</v>
      </c>
      <c r="AA28" s="61">
        <f>(SUMIFS('MAIN DATA, Orders'!$M:$M,'MAIN DATA, Orders'!$Q:$Q,$A28,'MAIN DATA, Orders'!$C:$C,"Germany",'MAIN DATA, Orders'!$G:$G,"Modernisation")/1000000000)</f>
        <v>0</v>
      </c>
      <c r="AB28" s="61">
        <f>(SUMIFS('MAIN DATA, Orders'!$M:$M,'MAIN DATA, Orders'!$Q:$Q,$A28,'MAIN DATA, Orders'!$C:$C,"Germany",'MAIN DATA, Orders'!$G:$G,"Development - Modernisation")/1000000000)</f>
        <v>0</v>
      </c>
      <c r="AC28" s="61">
        <f>(SUMIFS('MAIN DATA, Orders'!$M:$M,'MAIN DATA, Orders'!$Q:$Q,$A28,'MAIN DATA, Orders'!$C:$C,"Germany",'MAIN DATA, Orders'!$G:$G,"Naval")/1000000000)</f>
        <v>0</v>
      </c>
      <c r="AD28" s="61">
        <f>(SUMIFS('MAIN DATA, Orders'!$M:$M,'MAIN DATA, Orders'!$Q:$Q,$A28,'MAIN DATA, Orders'!$C:$C,"Germany",'MAIN DATA, Orders'!$G:$G,"Development - Naval")/1000000000)</f>
        <v>0</v>
      </c>
      <c r="AE28" s="61">
        <f>(SUMIFS('MAIN DATA, Orders'!$M:$M,'MAIN DATA, Orders'!$Q:$Q,$A28,'MAIN DATA, Orders'!$C:$C,"Germany",'MAIN DATA, Orders'!$G:$G,"Other")/1000000000)</f>
        <v>0</v>
      </c>
      <c r="AF28" s="61">
        <f>(SUMIFS('MAIN DATA, Orders'!$M:$M,'MAIN DATA, Orders'!$Q:$Q,$A28,'MAIN DATA, Orders'!$C:$C,"Germany",'MAIN DATA, Orders'!$G:$G,"Development - Other")/1000000000)</f>
        <v>0</v>
      </c>
      <c r="AG28" s="61"/>
      <c r="AH28" s="61" cm="1">
        <f t="array" ref="AH28">SUM(SUMIFS('MAIN DATA, Orders'!$M:$M,'MAIN DATA, Orders'!$Q:$Q,$A28,'MAIN DATA, Orders'!$C:$C,"Germany",'MAIN DATA, Orders'!$G:$G,{"Missile (Land)","Development - Missile (Land)"})/1000000000)</f>
        <v>0</v>
      </c>
      <c r="AI28" s="61" cm="1">
        <f t="array" ref="AI28">SUM(SUMIFS('MAIN DATA, Orders'!$M:$M,'MAIN DATA, Orders'!$C:$C,"Germany",'MAIN DATA, Orders'!$G:$G,{"Missile (Air)","Development - Missile (Air)"},'MAIN DATA, Orders'!$Q:$Q,$A28)/1000000000)</f>
        <v>0</v>
      </c>
      <c r="AJ28" s="61" cm="1">
        <f t="array" ref="AJ28">SUM(SUMIFS('MAIN DATA, Orders'!$M:$M,'MAIN DATA, Orders'!$Q:$Q,$A28,'MAIN DATA, Orders'!$C:$C,"Germany",'MAIN DATA, Orders'!$G:$G,{"Missile (Naval)","Development - Missile (Naval)"})/1000000000)</f>
        <v>0</v>
      </c>
    </row>
    <row r="29" spans="1:36">
      <c r="A29" s="72">
        <v>23</v>
      </c>
      <c r="B29" s="68">
        <v>44501</v>
      </c>
      <c r="C29" s="61">
        <f>(SUMIFS('MAIN DATA, Orders'!$M:$M,'MAIN DATA, Orders'!$Q:$Q,$A29,'MAIN DATA, Orders'!$C:$C,"Germany",'MAIN DATA, Orders'!$G:$G,"Air defence system")/1000000000)</f>
        <v>0</v>
      </c>
      <c r="D29" s="61">
        <f>(SUMIFS('MAIN DATA, Orders'!$M:$M,'MAIN DATA, Orders'!$Q:$Q,$A29,'MAIN DATA, Orders'!$C:$C,"Germany",'MAIN DATA, Orders'!$G:$G,"Development - Air defence system")/1000000000)</f>
        <v>0</v>
      </c>
      <c r="E29" s="61">
        <f>(SUMIFS('MAIN DATA, Orders'!$M:$M,'MAIN DATA, Orders'!$Q:$Q,$A29,'MAIN DATA, Orders'!$C:$C,"Germany",'MAIN DATA, Orders'!$G:$G,"Aircraft")/1000000000)</f>
        <v>0</v>
      </c>
      <c r="F29" s="61">
        <f>(SUMIFS('MAIN DATA, Orders'!$M:$M,'MAIN DATA, Orders'!$Q:$Q,$A29,'MAIN DATA, Orders'!$C:$C,"Germany",'MAIN DATA, Orders'!$G:$G,"Development - Aircraft")/1000000000)</f>
        <v>0</v>
      </c>
      <c r="G29" s="61">
        <f>(SUMIFS('MAIN DATA, Orders'!$M:$M,'MAIN DATA, Orders'!$Q:$Q,$A29,'MAIN DATA, Orders'!$C:$C,"Germany",'MAIN DATA, Orders'!$G:$G,"Ammunition")/1000000000)</f>
        <v>0</v>
      </c>
      <c r="H29" s="61">
        <f>(SUMIFS('MAIN DATA, Orders'!$M:$M,'MAIN DATA, Orders'!$Q:$Q,$A29,'MAIN DATA, Orders'!$C:$C,"Germany",'MAIN DATA, Orders'!$G:$G,"Development - Ammunition")/1000000000)</f>
        <v>0</v>
      </c>
      <c r="I29" s="61">
        <f>(SUMIFS('MAIN DATA, Orders'!$M:$M,'MAIN DATA, Orders'!$Q:$Q,$A29,'MAIN DATA, Orders'!$C:$C,"Germany",'MAIN DATA, Orders'!$G:$G,"Armoured vehicle")/1000000000)</f>
        <v>0</v>
      </c>
      <c r="J29" s="61">
        <f>(SUMIFS('MAIN DATA, Orders'!$M:$M,'MAIN DATA, Orders'!$Q:$Q,$A29,'MAIN DATA, Orders'!$C:$C,"Germany",'MAIN DATA, Orders'!$G:$G,"Development - Armoured vehicle")/1000000000)</f>
        <v>0</v>
      </c>
      <c r="K29" s="61">
        <f>(SUMIFS('MAIN DATA, Orders'!$M:$M,'MAIN DATA, Orders'!$Q:$Q,$A29,'MAIN DATA, Orders'!$C:$C,"Germany",'MAIN DATA, Orders'!$G:$G,"Artillery")/1000000000)</f>
        <v>0</v>
      </c>
      <c r="L29" s="61">
        <f>(SUMIFS('MAIN DATA, Orders'!$M:$M,'MAIN DATA, Orders'!$Q:$Q,$A29,'MAIN DATA, Orders'!$C:$C,"Germany",'MAIN DATA, Orders'!$G:$G,"Development - Artillery")/1000000000)</f>
        <v>0</v>
      </c>
      <c r="M29" s="61">
        <f>(SUMIFS('MAIN DATA, Orders'!$M:$M,'MAIN DATA, Orders'!$Q:$Q,$A29,'MAIN DATA, Orders'!$C:$C,"Germany",'MAIN DATA, Orders'!$G:$G,"Drone")/1000000000)</f>
        <v>0</v>
      </c>
      <c r="N29" s="61">
        <f>(SUMIFS('MAIN DATA, Orders'!$M:$M,'MAIN DATA, Orders'!$Q:$Q,$A29,'MAIN DATA, Orders'!$C:$C,"Germany",'MAIN DATA, Orders'!$G:$G,"Development - Drone")/1000000000)</f>
        <v>0</v>
      </c>
      <c r="O29" s="61">
        <f>(SUMIFS('MAIN DATA, Orders'!$M:$M,'MAIN DATA, Orders'!$Q:$Q,$A29,'MAIN DATA, Orders'!$C:$C,"Germany",'MAIN DATA, Orders'!$G:$G,"Helicopter")/1000000000)</f>
        <v>0</v>
      </c>
      <c r="P29" s="61">
        <f>(SUMIFS('MAIN DATA, Orders'!$M:$M,'MAIN DATA, Orders'!$Q:$Q,$A29,'MAIN DATA, Orders'!$C:$C,"Germany",'MAIN DATA, Orders'!$G:$G,"Development - Helicopter")/1000000000)</f>
        <v>0</v>
      </c>
      <c r="Q29" s="61">
        <f>(SUMIFS('MAIN DATA, Orders'!$M:$M,'MAIN DATA, Orders'!$Q:$Q,$A29,'MAIN DATA, Orders'!$C:$C,"Germany",'MAIN DATA, Orders'!$G:$G,"Infantry")/1000000000)</f>
        <v>0</v>
      </c>
      <c r="R29" s="61">
        <f>(SUMIFS('MAIN DATA, Orders'!$M:$M,'MAIN DATA, Orders'!$Q:$Q,$A29,'MAIN DATA, Orders'!$C:$C,"Germany",'MAIN DATA, Orders'!$G:$G,"Development - Infantry")/1000000000)</f>
        <v>0</v>
      </c>
      <c r="S29" s="61">
        <f>(SUMIFS('MAIN DATA, Orders'!$M:$M,'MAIN DATA, Orders'!$Q:$Q,$A29,'MAIN DATA, Orders'!$C:$C,"Germany",'MAIN DATA, Orders'!$G:$G,"Tank")/1000000000)</f>
        <v>0</v>
      </c>
      <c r="T29" s="61">
        <f>(SUMIFS('MAIN DATA, Orders'!$M:$M,'MAIN DATA, Orders'!$Q:$Q,$A29,'MAIN DATA, Orders'!$C:$C,"Germany",'MAIN DATA, Orders'!$G:$G,"Development - Tank")/1000000000)</f>
        <v>0</v>
      </c>
      <c r="U29" s="61">
        <f>(SUMIFS('MAIN DATA, Orders'!$M:$M,'MAIN DATA, Orders'!$Q:$Q,$A29,'MAIN DATA, Orders'!$C:$C,"Germany",'MAIN DATA, Orders'!$G:$G,"Maintenance")/1000000000)</f>
        <v>0</v>
      </c>
      <c r="V29" s="61">
        <f>(SUMIFS('MAIN DATA, Orders'!$M:$M,'MAIN DATA, Orders'!$Q:$Q,$A29,'MAIN DATA, Orders'!$C:$C,"Germany",'MAIN DATA, Orders'!$G:$G,"Development - Maintenance")/1000000000)</f>
        <v>0</v>
      </c>
      <c r="W29" s="61">
        <f>(SUMIFS('MAIN DATA, Orders'!$M:$M,'MAIN DATA, Orders'!$Q:$Q,$A29,'MAIN DATA, Orders'!$C:$C,"Germany",'MAIN DATA, Orders'!$G:$G,"Mine")/1000000000)</f>
        <v>0</v>
      </c>
      <c r="X29" s="61">
        <f>(SUMIFS('MAIN DATA, Orders'!$M:$M,'MAIN DATA, Orders'!$Q:$Q,$A29,'MAIN DATA, Orders'!$C:$C,"Germany",'MAIN DATA, Orders'!$G:$G,"Development - Mine")/1000000000)</f>
        <v>0</v>
      </c>
      <c r="Y29" s="61">
        <f>(SUMIFS('MAIN DATA, Orders'!$M:$M,'MAIN DATA, Orders'!$Q:$Q,$A29,'MAIN DATA, Orders'!$C:$C,"Germany",'MAIN DATA, Orders'!$H:$H,"6")/1000000000)</f>
        <v>0</v>
      </c>
      <c r="Z29" s="61" cm="1">
        <f t="array" ref="Z29">SUM(SUMIFS('MAIN DATA, Orders'!$M:$M,'MAIN DATA, Orders'!$Q:$Q,$A29,'MAIN DATA, Orders'!$C:$C,"Germany",'MAIN DATA, Orders'!$G:$G,{"Development - Missile (Land)","Development - Missile (Naval)","Development - Missile (Air)"})/1000000000)</f>
        <v>0</v>
      </c>
      <c r="AA29" s="61">
        <f>(SUMIFS('MAIN DATA, Orders'!$M:$M,'MAIN DATA, Orders'!$Q:$Q,$A29,'MAIN DATA, Orders'!$C:$C,"Germany",'MAIN DATA, Orders'!$G:$G,"Modernisation")/1000000000)</f>
        <v>0</v>
      </c>
      <c r="AB29" s="61">
        <f>(SUMIFS('MAIN DATA, Orders'!$M:$M,'MAIN DATA, Orders'!$Q:$Q,$A29,'MAIN DATA, Orders'!$C:$C,"Germany",'MAIN DATA, Orders'!$G:$G,"Development - Modernisation")/1000000000)</f>
        <v>0</v>
      </c>
      <c r="AC29" s="61">
        <f>(SUMIFS('MAIN DATA, Orders'!$M:$M,'MAIN DATA, Orders'!$Q:$Q,$A29,'MAIN DATA, Orders'!$C:$C,"Germany",'MAIN DATA, Orders'!$G:$G,"Naval")/1000000000)</f>
        <v>0</v>
      </c>
      <c r="AD29" s="61">
        <f>(SUMIFS('MAIN DATA, Orders'!$M:$M,'MAIN DATA, Orders'!$Q:$Q,$A29,'MAIN DATA, Orders'!$C:$C,"Germany",'MAIN DATA, Orders'!$G:$G,"Development - Naval")/1000000000)</f>
        <v>0</v>
      </c>
      <c r="AE29" s="61">
        <f>(SUMIFS('MAIN DATA, Orders'!$M:$M,'MAIN DATA, Orders'!$Q:$Q,$A29,'MAIN DATA, Orders'!$C:$C,"Germany",'MAIN DATA, Orders'!$G:$G,"Other")/1000000000)</f>
        <v>0</v>
      </c>
      <c r="AF29" s="61">
        <f>(SUMIFS('MAIN DATA, Orders'!$M:$M,'MAIN DATA, Orders'!$Q:$Q,$A29,'MAIN DATA, Orders'!$C:$C,"Germany",'MAIN DATA, Orders'!$G:$G,"Development - Other")/1000000000)</f>
        <v>0</v>
      </c>
      <c r="AG29" s="61"/>
      <c r="AH29" s="61" cm="1">
        <f t="array" ref="AH29">SUM(SUMIFS('MAIN DATA, Orders'!$M:$M,'MAIN DATA, Orders'!$Q:$Q,$A29,'MAIN DATA, Orders'!$C:$C,"Germany",'MAIN DATA, Orders'!$G:$G,{"Missile (Land)","Development - Missile (Land)"})/1000000000)</f>
        <v>0</v>
      </c>
      <c r="AI29" s="61" cm="1">
        <f t="array" ref="AI29">SUM(SUMIFS('MAIN DATA, Orders'!$M:$M,'MAIN DATA, Orders'!$C:$C,"Germany",'MAIN DATA, Orders'!$G:$G,{"Missile (Air)","Development - Missile (Air)"},'MAIN DATA, Orders'!$Q:$Q,$A29)/1000000000)</f>
        <v>0</v>
      </c>
      <c r="AJ29" s="61" cm="1">
        <f t="array" ref="AJ29">SUM(SUMIFS('MAIN DATA, Orders'!$M:$M,'MAIN DATA, Orders'!$Q:$Q,$A29,'MAIN DATA, Orders'!$C:$C,"Germany",'MAIN DATA, Orders'!$G:$G,{"Missile (Naval)","Development - Missile (Naval)"})/1000000000)</f>
        <v>0</v>
      </c>
    </row>
    <row r="30" spans="1:36">
      <c r="A30" s="72">
        <v>24</v>
      </c>
      <c r="B30" s="68">
        <v>44531</v>
      </c>
      <c r="C30" s="61">
        <f>(SUMIFS('MAIN DATA, Orders'!$M:$M,'MAIN DATA, Orders'!$Q:$Q,$A30,'MAIN DATA, Orders'!$C:$C,"Germany",'MAIN DATA, Orders'!$G:$G,"Air defence system")/1000000000)</f>
        <v>0</v>
      </c>
      <c r="D30" s="61">
        <f>(SUMIFS('MAIN DATA, Orders'!$M:$M,'MAIN DATA, Orders'!$Q:$Q,$A30,'MAIN DATA, Orders'!$C:$C,"Germany",'MAIN DATA, Orders'!$G:$G,"Development - Air defence system")/1000000000)</f>
        <v>0</v>
      </c>
      <c r="E30" s="61">
        <f>(SUMIFS('MAIN DATA, Orders'!$M:$M,'MAIN DATA, Orders'!$Q:$Q,$A30,'MAIN DATA, Orders'!$C:$C,"Germany",'MAIN DATA, Orders'!$G:$G,"Aircraft")/1000000000)</f>
        <v>0</v>
      </c>
      <c r="F30" s="61">
        <f>(SUMIFS('MAIN DATA, Orders'!$M:$M,'MAIN DATA, Orders'!$Q:$Q,$A30,'MAIN DATA, Orders'!$C:$C,"Germany",'MAIN DATA, Orders'!$G:$G,"Development - Aircraft")/1000000000)</f>
        <v>0</v>
      </c>
      <c r="G30" s="61">
        <f>(SUMIFS('MAIN DATA, Orders'!$M:$M,'MAIN DATA, Orders'!$Q:$Q,$A30,'MAIN DATA, Orders'!$C:$C,"Germany",'MAIN DATA, Orders'!$G:$G,"Ammunition")/1000000000)</f>
        <v>0</v>
      </c>
      <c r="H30" s="61">
        <f>(SUMIFS('MAIN DATA, Orders'!$M:$M,'MAIN DATA, Orders'!$Q:$Q,$A30,'MAIN DATA, Orders'!$C:$C,"Germany",'MAIN DATA, Orders'!$G:$G,"Development - Ammunition")/1000000000)</f>
        <v>0</v>
      </c>
      <c r="I30" s="61">
        <f>(SUMIFS('MAIN DATA, Orders'!$M:$M,'MAIN DATA, Orders'!$Q:$Q,$A30,'MAIN DATA, Orders'!$C:$C,"Germany",'MAIN DATA, Orders'!$G:$G,"Armoured vehicle")/1000000000)</f>
        <v>0</v>
      </c>
      <c r="J30" s="61">
        <f>(SUMIFS('MAIN DATA, Orders'!$M:$M,'MAIN DATA, Orders'!$Q:$Q,$A30,'MAIN DATA, Orders'!$C:$C,"Germany",'MAIN DATA, Orders'!$G:$G,"Development - Armoured vehicle")/1000000000)</f>
        <v>0</v>
      </c>
      <c r="K30" s="61">
        <f>(SUMIFS('MAIN DATA, Orders'!$M:$M,'MAIN DATA, Orders'!$Q:$Q,$A30,'MAIN DATA, Orders'!$C:$C,"Germany",'MAIN DATA, Orders'!$G:$G,"Artillery")/1000000000)</f>
        <v>0</v>
      </c>
      <c r="L30" s="61">
        <f>(SUMIFS('MAIN DATA, Orders'!$M:$M,'MAIN DATA, Orders'!$Q:$Q,$A30,'MAIN DATA, Orders'!$C:$C,"Germany",'MAIN DATA, Orders'!$G:$G,"Development - Artillery")/1000000000)</f>
        <v>0</v>
      </c>
      <c r="M30" s="61">
        <f>(SUMIFS('MAIN DATA, Orders'!$M:$M,'MAIN DATA, Orders'!$Q:$Q,$A30,'MAIN DATA, Orders'!$C:$C,"Germany",'MAIN DATA, Orders'!$G:$G,"Drone")/1000000000)</f>
        <v>0</v>
      </c>
      <c r="N30" s="61">
        <f>(SUMIFS('MAIN DATA, Orders'!$M:$M,'MAIN DATA, Orders'!$Q:$Q,$A30,'MAIN DATA, Orders'!$C:$C,"Germany",'MAIN DATA, Orders'!$G:$G,"Development - Drone")/1000000000)</f>
        <v>0</v>
      </c>
      <c r="O30" s="61">
        <f>(SUMIFS('MAIN DATA, Orders'!$M:$M,'MAIN DATA, Orders'!$Q:$Q,$A30,'MAIN DATA, Orders'!$C:$C,"Germany",'MAIN DATA, Orders'!$G:$G,"Helicopter")/1000000000)</f>
        <v>0</v>
      </c>
      <c r="P30" s="61">
        <f>(SUMIFS('MAIN DATA, Orders'!$M:$M,'MAIN DATA, Orders'!$Q:$Q,$A30,'MAIN DATA, Orders'!$C:$C,"Germany",'MAIN DATA, Orders'!$G:$G,"Development - Helicopter")/1000000000)</f>
        <v>0</v>
      </c>
      <c r="Q30" s="61">
        <f>(SUMIFS('MAIN DATA, Orders'!$M:$M,'MAIN DATA, Orders'!$Q:$Q,$A30,'MAIN DATA, Orders'!$C:$C,"Germany",'MAIN DATA, Orders'!$G:$G,"Infantry")/1000000000)</f>
        <v>0</v>
      </c>
      <c r="R30" s="61">
        <f>(SUMIFS('MAIN DATA, Orders'!$M:$M,'MAIN DATA, Orders'!$Q:$Q,$A30,'MAIN DATA, Orders'!$C:$C,"Germany",'MAIN DATA, Orders'!$G:$G,"Development - Infantry")/1000000000)</f>
        <v>0</v>
      </c>
      <c r="S30" s="61">
        <f>(SUMIFS('MAIN DATA, Orders'!$M:$M,'MAIN DATA, Orders'!$Q:$Q,$A30,'MAIN DATA, Orders'!$C:$C,"Germany",'MAIN DATA, Orders'!$G:$G,"Tank")/1000000000)</f>
        <v>0</v>
      </c>
      <c r="T30" s="61">
        <f>(SUMIFS('MAIN DATA, Orders'!$M:$M,'MAIN DATA, Orders'!$Q:$Q,$A30,'MAIN DATA, Orders'!$C:$C,"Germany",'MAIN DATA, Orders'!$G:$G,"Development - Tank")/1000000000)</f>
        <v>0</v>
      </c>
      <c r="U30" s="61">
        <f>(SUMIFS('MAIN DATA, Orders'!$M:$M,'MAIN DATA, Orders'!$Q:$Q,$A30,'MAIN DATA, Orders'!$C:$C,"Germany",'MAIN DATA, Orders'!$G:$G,"Maintenance")/1000000000)</f>
        <v>0</v>
      </c>
      <c r="V30" s="61">
        <f>(SUMIFS('MAIN DATA, Orders'!$M:$M,'MAIN DATA, Orders'!$Q:$Q,$A30,'MAIN DATA, Orders'!$C:$C,"Germany",'MAIN DATA, Orders'!$G:$G,"Development - Maintenance")/1000000000)</f>
        <v>0</v>
      </c>
      <c r="W30" s="61">
        <f>(SUMIFS('MAIN DATA, Orders'!$M:$M,'MAIN DATA, Orders'!$Q:$Q,$A30,'MAIN DATA, Orders'!$C:$C,"Germany",'MAIN DATA, Orders'!$G:$G,"Mine")/1000000000)</f>
        <v>0</v>
      </c>
      <c r="X30" s="61">
        <f>(SUMIFS('MAIN DATA, Orders'!$M:$M,'MAIN DATA, Orders'!$Q:$Q,$A30,'MAIN DATA, Orders'!$C:$C,"Germany",'MAIN DATA, Orders'!$G:$G,"Development - Mine")/1000000000)</f>
        <v>0</v>
      </c>
      <c r="Y30" s="61">
        <f>(SUMIFS('MAIN DATA, Orders'!$M:$M,'MAIN DATA, Orders'!$Q:$Q,$A30,'MAIN DATA, Orders'!$C:$C,"Germany",'MAIN DATA, Orders'!$H:$H,"6")/1000000000)</f>
        <v>0</v>
      </c>
      <c r="Z30" s="61" cm="1">
        <f t="array" ref="Z30">SUM(SUMIFS('MAIN DATA, Orders'!$M:$M,'MAIN DATA, Orders'!$Q:$Q,$A30,'MAIN DATA, Orders'!$C:$C,"Germany",'MAIN DATA, Orders'!$G:$G,{"Development - Missile (Land)","Development - Missile (Naval)","Development - Missile (Air)"})/1000000000)</f>
        <v>0</v>
      </c>
      <c r="AA30" s="61">
        <f>(SUMIFS('MAIN DATA, Orders'!$M:$M,'MAIN DATA, Orders'!$Q:$Q,$A30,'MAIN DATA, Orders'!$C:$C,"Germany",'MAIN DATA, Orders'!$G:$G,"Modernisation")/1000000000)</f>
        <v>0</v>
      </c>
      <c r="AB30" s="61">
        <f>(SUMIFS('MAIN DATA, Orders'!$M:$M,'MAIN DATA, Orders'!$Q:$Q,$A30,'MAIN DATA, Orders'!$C:$C,"Germany",'MAIN DATA, Orders'!$G:$G,"Development - Modernisation")/1000000000)</f>
        <v>0</v>
      </c>
      <c r="AC30" s="61">
        <f>(SUMIFS('MAIN DATA, Orders'!$M:$M,'MAIN DATA, Orders'!$Q:$Q,$A30,'MAIN DATA, Orders'!$C:$C,"Germany",'MAIN DATA, Orders'!$G:$G,"Naval")/1000000000)</f>
        <v>0</v>
      </c>
      <c r="AD30" s="61">
        <f>(SUMIFS('MAIN DATA, Orders'!$M:$M,'MAIN DATA, Orders'!$Q:$Q,$A30,'MAIN DATA, Orders'!$C:$C,"Germany",'MAIN DATA, Orders'!$G:$G,"Development - Naval")/1000000000)</f>
        <v>0</v>
      </c>
      <c r="AE30" s="61">
        <f>(SUMIFS('MAIN DATA, Orders'!$M:$M,'MAIN DATA, Orders'!$Q:$Q,$A30,'MAIN DATA, Orders'!$C:$C,"Germany",'MAIN DATA, Orders'!$G:$G,"Other")/1000000000)</f>
        <v>0</v>
      </c>
      <c r="AF30" s="61">
        <f>(SUMIFS('MAIN DATA, Orders'!$M:$M,'MAIN DATA, Orders'!$Q:$Q,$A30,'MAIN DATA, Orders'!$C:$C,"Germany",'MAIN DATA, Orders'!$G:$G,"Development - Other")/1000000000)</f>
        <v>0</v>
      </c>
      <c r="AG30" s="61"/>
      <c r="AH30" s="61" cm="1">
        <f t="array" ref="AH30">SUM(SUMIFS('MAIN DATA, Orders'!$M:$M,'MAIN DATA, Orders'!$Q:$Q,$A30,'MAIN DATA, Orders'!$C:$C,"Germany",'MAIN DATA, Orders'!$G:$G,{"Missile (Land)","Development - Missile (Land)"})/1000000000)</f>
        <v>0</v>
      </c>
      <c r="AI30" s="61" cm="1">
        <f t="array" ref="AI30">SUM(SUMIFS('MAIN DATA, Orders'!$M:$M,'MAIN DATA, Orders'!$C:$C,"Germany",'MAIN DATA, Orders'!$G:$G,{"Missile (Air)","Development - Missile (Air)"},'MAIN DATA, Orders'!$Q:$Q,$A30)/1000000000)</f>
        <v>0</v>
      </c>
      <c r="AJ30" s="61" cm="1">
        <f t="array" ref="AJ30">SUM(SUMIFS('MAIN DATA, Orders'!$M:$M,'MAIN DATA, Orders'!$Q:$Q,$A30,'MAIN DATA, Orders'!$C:$C,"Germany",'MAIN DATA, Orders'!$G:$G,{"Missile (Naval)","Development - Missile (Naval)"})/1000000000)</f>
        <v>0</v>
      </c>
    </row>
    <row r="31" spans="1:36">
      <c r="A31" s="72">
        <v>25</v>
      </c>
      <c r="B31" s="68">
        <v>44562</v>
      </c>
      <c r="C31" s="61">
        <f>(SUMIFS('MAIN DATA, Orders'!$M:$M,'MAIN DATA, Orders'!$Q:$Q,$A31,'MAIN DATA, Orders'!$C:$C,"Germany",'MAIN DATA, Orders'!$G:$G,"Air defence system")/1000000000)</f>
        <v>0</v>
      </c>
      <c r="D31" s="61">
        <f>(SUMIFS('MAIN DATA, Orders'!$M:$M,'MAIN DATA, Orders'!$Q:$Q,$A31,'MAIN DATA, Orders'!$C:$C,"Germany",'MAIN DATA, Orders'!$G:$G,"Development - Air defence system")/1000000000)</f>
        <v>0</v>
      </c>
      <c r="E31" s="61">
        <f>(SUMIFS('MAIN DATA, Orders'!$M:$M,'MAIN DATA, Orders'!$Q:$Q,$A31,'MAIN DATA, Orders'!$C:$C,"Germany",'MAIN DATA, Orders'!$G:$G,"Aircraft")/1000000000)</f>
        <v>0</v>
      </c>
      <c r="F31" s="61">
        <f>(SUMIFS('MAIN DATA, Orders'!$M:$M,'MAIN DATA, Orders'!$Q:$Q,$A31,'MAIN DATA, Orders'!$C:$C,"Germany",'MAIN DATA, Orders'!$G:$G,"Development - Aircraft")/1000000000)</f>
        <v>0</v>
      </c>
      <c r="G31" s="61">
        <f>(SUMIFS('MAIN DATA, Orders'!$M:$M,'MAIN DATA, Orders'!$Q:$Q,$A31,'MAIN DATA, Orders'!$C:$C,"Germany",'MAIN DATA, Orders'!$G:$G,"Ammunition")/1000000000)</f>
        <v>0</v>
      </c>
      <c r="H31" s="61">
        <f>(SUMIFS('MAIN DATA, Orders'!$M:$M,'MAIN DATA, Orders'!$Q:$Q,$A31,'MAIN DATA, Orders'!$C:$C,"Germany",'MAIN DATA, Orders'!$G:$G,"Development - Ammunition")/1000000000)</f>
        <v>0</v>
      </c>
      <c r="I31" s="61">
        <f>(SUMIFS('MAIN DATA, Orders'!$M:$M,'MAIN DATA, Orders'!$Q:$Q,$A31,'MAIN DATA, Orders'!$C:$C,"Germany",'MAIN DATA, Orders'!$G:$G,"Armoured vehicle")/1000000000)</f>
        <v>0</v>
      </c>
      <c r="J31" s="61">
        <f>(SUMIFS('MAIN DATA, Orders'!$M:$M,'MAIN DATA, Orders'!$Q:$Q,$A31,'MAIN DATA, Orders'!$C:$C,"Germany",'MAIN DATA, Orders'!$G:$G,"Development - Armoured vehicle")/1000000000)</f>
        <v>0</v>
      </c>
      <c r="K31" s="61">
        <f>(SUMIFS('MAIN DATA, Orders'!$M:$M,'MAIN DATA, Orders'!$Q:$Q,$A31,'MAIN DATA, Orders'!$C:$C,"Germany",'MAIN DATA, Orders'!$G:$G,"Artillery")/1000000000)</f>
        <v>0</v>
      </c>
      <c r="L31" s="61">
        <f>(SUMIFS('MAIN DATA, Orders'!$M:$M,'MAIN DATA, Orders'!$Q:$Q,$A31,'MAIN DATA, Orders'!$C:$C,"Germany",'MAIN DATA, Orders'!$G:$G,"Development - Artillery")/1000000000)</f>
        <v>0</v>
      </c>
      <c r="M31" s="61">
        <f>(SUMIFS('MAIN DATA, Orders'!$M:$M,'MAIN DATA, Orders'!$Q:$Q,$A31,'MAIN DATA, Orders'!$C:$C,"Germany",'MAIN DATA, Orders'!$G:$G,"Drone")/1000000000)</f>
        <v>0</v>
      </c>
      <c r="N31" s="61">
        <f>(SUMIFS('MAIN DATA, Orders'!$M:$M,'MAIN DATA, Orders'!$Q:$Q,$A31,'MAIN DATA, Orders'!$C:$C,"Germany",'MAIN DATA, Orders'!$G:$G,"Development - Drone")/1000000000)</f>
        <v>0</v>
      </c>
      <c r="O31" s="61">
        <f>(SUMIFS('MAIN DATA, Orders'!$M:$M,'MAIN DATA, Orders'!$Q:$Q,$A31,'MAIN DATA, Orders'!$C:$C,"Germany",'MAIN DATA, Orders'!$G:$G,"Helicopter")/1000000000)</f>
        <v>0</v>
      </c>
      <c r="P31" s="61">
        <f>(SUMIFS('MAIN DATA, Orders'!$M:$M,'MAIN DATA, Orders'!$Q:$Q,$A31,'MAIN DATA, Orders'!$C:$C,"Germany",'MAIN DATA, Orders'!$G:$G,"Development - Helicopter")/1000000000)</f>
        <v>0</v>
      </c>
      <c r="Q31" s="61">
        <f>(SUMIFS('MAIN DATA, Orders'!$M:$M,'MAIN DATA, Orders'!$Q:$Q,$A31,'MAIN DATA, Orders'!$C:$C,"Germany",'MAIN DATA, Orders'!$G:$G,"Infantry")/1000000000)</f>
        <v>0</v>
      </c>
      <c r="R31" s="61">
        <f>(SUMIFS('MAIN DATA, Orders'!$M:$M,'MAIN DATA, Orders'!$Q:$Q,$A31,'MAIN DATA, Orders'!$C:$C,"Germany",'MAIN DATA, Orders'!$G:$G,"Development - Infantry")/1000000000)</f>
        <v>0</v>
      </c>
      <c r="S31" s="61">
        <f>(SUMIFS('MAIN DATA, Orders'!$M:$M,'MAIN DATA, Orders'!$Q:$Q,$A31,'MAIN DATA, Orders'!$C:$C,"Germany",'MAIN DATA, Orders'!$G:$G,"Tank")/1000000000)</f>
        <v>0</v>
      </c>
      <c r="T31" s="61">
        <f>(SUMIFS('MAIN DATA, Orders'!$M:$M,'MAIN DATA, Orders'!$Q:$Q,$A31,'MAIN DATA, Orders'!$C:$C,"Germany",'MAIN DATA, Orders'!$G:$G,"Development - Tank")/1000000000)</f>
        <v>0</v>
      </c>
      <c r="U31" s="61">
        <f>(SUMIFS('MAIN DATA, Orders'!$M:$M,'MAIN DATA, Orders'!$Q:$Q,$A31,'MAIN DATA, Orders'!$C:$C,"Germany",'MAIN DATA, Orders'!$G:$G,"Maintenance")/1000000000)</f>
        <v>0</v>
      </c>
      <c r="V31" s="61">
        <f>(SUMIFS('MAIN DATA, Orders'!$M:$M,'MAIN DATA, Orders'!$Q:$Q,$A31,'MAIN DATA, Orders'!$C:$C,"Germany",'MAIN DATA, Orders'!$G:$G,"Development - Maintenance")/1000000000)</f>
        <v>0</v>
      </c>
      <c r="W31" s="61">
        <f>(SUMIFS('MAIN DATA, Orders'!$M:$M,'MAIN DATA, Orders'!$Q:$Q,$A31,'MAIN DATA, Orders'!$C:$C,"Germany",'MAIN DATA, Orders'!$G:$G,"Mine")/1000000000)</f>
        <v>0</v>
      </c>
      <c r="X31" s="61">
        <f>(SUMIFS('MAIN DATA, Orders'!$M:$M,'MAIN DATA, Orders'!$Q:$Q,$A31,'MAIN DATA, Orders'!$C:$C,"Germany",'MAIN DATA, Orders'!$G:$G,"Development - Mine")/1000000000)</f>
        <v>0</v>
      </c>
      <c r="Y31" s="61">
        <f>(SUMIFS('MAIN DATA, Orders'!$M:$M,'MAIN DATA, Orders'!$Q:$Q,$A31,'MAIN DATA, Orders'!$C:$C,"Germany",'MAIN DATA, Orders'!$H:$H,"6")/1000000000)</f>
        <v>0</v>
      </c>
      <c r="Z31" s="61" cm="1">
        <f t="array" ref="Z31">SUM(SUMIFS('MAIN DATA, Orders'!$M:$M,'MAIN DATA, Orders'!$Q:$Q,$A31,'MAIN DATA, Orders'!$C:$C,"Germany",'MAIN DATA, Orders'!$G:$G,{"Development - Missile (Land)","Development - Missile (Naval)","Development - Missile (Air)"})/1000000000)</f>
        <v>0</v>
      </c>
      <c r="AA31" s="61">
        <f>(SUMIFS('MAIN DATA, Orders'!$M:$M,'MAIN DATA, Orders'!$Q:$Q,$A31,'MAIN DATA, Orders'!$C:$C,"Germany",'MAIN DATA, Orders'!$G:$G,"Modernisation")/1000000000)</f>
        <v>0</v>
      </c>
      <c r="AB31" s="61">
        <f>(SUMIFS('MAIN DATA, Orders'!$M:$M,'MAIN DATA, Orders'!$Q:$Q,$A31,'MAIN DATA, Orders'!$C:$C,"Germany",'MAIN DATA, Orders'!$G:$G,"Development - Modernisation")/1000000000)</f>
        <v>0</v>
      </c>
      <c r="AC31" s="61">
        <f>(SUMIFS('MAIN DATA, Orders'!$M:$M,'MAIN DATA, Orders'!$Q:$Q,$A31,'MAIN DATA, Orders'!$C:$C,"Germany",'MAIN DATA, Orders'!$G:$G,"Naval")/1000000000)</f>
        <v>0</v>
      </c>
      <c r="AD31" s="61">
        <f>(SUMIFS('MAIN DATA, Orders'!$M:$M,'MAIN DATA, Orders'!$Q:$Q,$A31,'MAIN DATA, Orders'!$C:$C,"Germany",'MAIN DATA, Orders'!$G:$G,"Development - Naval")/1000000000)</f>
        <v>0</v>
      </c>
      <c r="AE31" s="61">
        <f>(SUMIFS('MAIN DATA, Orders'!$M:$M,'MAIN DATA, Orders'!$Q:$Q,$A31,'MAIN DATA, Orders'!$C:$C,"Germany",'MAIN DATA, Orders'!$G:$G,"Other")/1000000000)</f>
        <v>0</v>
      </c>
      <c r="AF31" s="61">
        <f>(SUMIFS('MAIN DATA, Orders'!$M:$M,'MAIN DATA, Orders'!$Q:$Q,$A31,'MAIN DATA, Orders'!$C:$C,"Germany",'MAIN DATA, Orders'!$G:$G,"Development - Other")/1000000000)</f>
        <v>0</v>
      </c>
      <c r="AG31" s="61"/>
      <c r="AH31" s="61" cm="1">
        <f t="array" ref="AH31">SUM(SUMIFS('MAIN DATA, Orders'!$M:$M,'MAIN DATA, Orders'!$Q:$Q,$A31,'MAIN DATA, Orders'!$C:$C,"Germany",'MAIN DATA, Orders'!$G:$G,{"Missile (Land)","Development - Missile (Land)"})/1000000000)</f>
        <v>0</v>
      </c>
      <c r="AI31" s="61" cm="1">
        <f t="array" ref="AI31">SUM(SUMIFS('MAIN DATA, Orders'!$M:$M,'MAIN DATA, Orders'!$C:$C,"Germany",'MAIN DATA, Orders'!$G:$G,{"Missile (Air)","Development - Missile (Air)"},'MAIN DATA, Orders'!$Q:$Q,$A31)/1000000000)</f>
        <v>0</v>
      </c>
      <c r="AJ31" s="61" cm="1">
        <f t="array" ref="AJ31">SUM(SUMIFS('MAIN DATA, Orders'!$M:$M,'MAIN DATA, Orders'!$Q:$Q,$A31,'MAIN DATA, Orders'!$C:$C,"Germany",'MAIN DATA, Orders'!$G:$G,{"Missile (Naval)","Development - Missile (Naval)"})/1000000000)</f>
        <v>0</v>
      </c>
    </row>
    <row r="32" spans="1:36">
      <c r="A32" s="72">
        <v>26</v>
      </c>
      <c r="B32" s="68">
        <v>44593</v>
      </c>
      <c r="C32" s="61">
        <f>(SUMIFS('MAIN DATA, Orders'!$M:$M,'MAIN DATA, Orders'!$Q:$Q,$A32,'MAIN DATA, Orders'!$C:$C,"Germany",'MAIN DATA, Orders'!$G:$G,"Air defence system")/1000000000)</f>
        <v>0</v>
      </c>
      <c r="D32" s="61">
        <f>(SUMIFS('MAIN DATA, Orders'!$M:$M,'MAIN DATA, Orders'!$Q:$Q,$A32,'MAIN DATA, Orders'!$C:$C,"Germany",'MAIN DATA, Orders'!$G:$G,"Development - Air defence system")/1000000000)</f>
        <v>0</v>
      </c>
      <c r="E32" s="61">
        <f>(SUMIFS('MAIN DATA, Orders'!$M:$M,'MAIN DATA, Orders'!$Q:$Q,$A32,'MAIN DATA, Orders'!$C:$C,"Germany",'MAIN DATA, Orders'!$G:$G,"Aircraft")/1000000000)</f>
        <v>0</v>
      </c>
      <c r="F32" s="61">
        <f>(SUMIFS('MAIN DATA, Orders'!$M:$M,'MAIN DATA, Orders'!$Q:$Q,$A32,'MAIN DATA, Orders'!$C:$C,"Germany",'MAIN DATA, Orders'!$G:$G,"Development - Aircraft")/1000000000)</f>
        <v>0</v>
      </c>
      <c r="G32" s="61">
        <f>(SUMIFS('MAIN DATA, Orders'!$M:$M,'MAIN DATA, Orders'!$Q:$Q,$A32,'MAIN DATA, Orders'!$C:$C,"Germany",'MAIN DATA, Orders'!$G:$G,"Ammunition")/1000000000)</f>
        <v>0</v>
      </c>
      <c r="H32" s="61">
        <f>(SUMIFS('MAIN DATA, Orders'!$M:$M,'MAIN DATA, Orders'!$Q:$Q,$A32,'MAIN DATA, Orders'!$C:$C,"Germany",'MAIN DATA, Orders'!$G:$G,"Development - Ammunition")/1000000000)</f>
        <v>0</v>
      </c>
      <c r="I32" s="61">
        <f>(SUMIFS('MAIN DATA, Orders'!$M:$M,'MAIN DATA, Orders'!$Q:$Q,$A32,'MAIN DATA, Orders'!$C:$C,"Germany",'MAIN DATA, Orders'!$G:$G,"Armoured vehicle")/1000000000)</f>
        <v>0</v>
      </c>
      <c r="J32" s="61">
        <f>(SUMIFS('MAIN DATA, Orders'!$M:$M,'MAIN DATA, Orders'!$Q:$Q,$A32,'MAIN DATA, Orders'!$C:$C,"Germany",'MAIN DATA, Orders'!$G:$G,"Development - Armoured vehicle")/1000000000)</f>
        <v>0</v>
      </c>
      <c r="K32" s="61">
        <f>(SUMIFS('MAIN DATA, Orders'!$M:$M,'MAIN DATA, Orders'!$Q:$Q,$A32,'MAIN DATA, Orders'!$C:$C,"Germany",'MAIN DATA, Orders'!$G:$G,"Artillery")/1000000000)</f>
        <v>0</v>
      </c>
      <c r="L32" s="61">
        <f>(SUMIFS('MAIN DATA, Orders'!$M:$M,'MAIN DATA, Orders'!$Q:$Q,$A32,'MAIN DATA, Orders'!$C:$C,"Germany",'MAIN DATA, Orders'!$G:$G,"Development - Artillery")/1000000000)</f>
        <v>0</v>
      </c>
      <c r="M32" s="61">
        <f>(SUMIFS('MAIN DATA, Orders'!$M:$M,'MAIN DATA, Orders'!$Q:$Q,$A32,'MAIN DATA, Orders'!$C:$C,"Germany",'MAIN DATA, Orders'!$G:$G,"Drone")/1000000000)</f>
        <v>0</v>
      </c>
      <c r="N32" s="61">
        <f>(SUMIFS('MAIN DATA, Orders'!$M:$M,'MAIN DATA, Orders'!$Q:$Q,$A32,'MAIN DATA, Orders'!$C:$C,"Germany",'MAIN DATA, Orders'!$G:$G,"Development - Drone")/1000000000)</f>
        <v>0</v>
      </c>
      <c r="O32" s="61">
        <f>(SUMIFS('MAIN DATA, Orders'!$M:$M,'MAIN DATA, Orders'!$Q:$Q,$A32,'MAIN DATA, Orders'!$C:$C,"Germany",'MAIN DATA, Orders'!$G:$G,"Helicopter")/1000000000)</f>
        <v>0</v>
      </c>
      <c r="P32" s="61">
        <f>(SUMIFS('MAIN DATA, Orders'!$M:$M,'MAIN DATA, Orders'!$Q:$Q,$A32,'MAIN DATA, Orders'!$C:$C,"Germany",'MAIN DATA, Orders'!$G:$G,"Development - Helicopter")/1000000000)</f>
        <v>0</v>
      </c>
      <c r="Q32" s="61">
        <f>(SUMIFS('MAIN DATA, Orders'!$M:$M,'MAIN DATA, Orders'!$Q:$Q,$A32,'MAIN DATA, Orders'!$C:$C,"Germany",'MAIN DATA, Orders'!$G:$G,"Infantry")/1000000000)</f>
        <v>0</v>
      </c>
      <c r="R32" s="61">
        <f>(SUMIFS('MAIN DATA, Orders'!$M:$M,'MAIN DATA, Orders'!$Q:$Q,$A32,'MAIN DATA, Orders'!$C:$C,"Germany",'MAIN DATA, Orders'!$G:$G,"Development - Infantry")/1000000000)</f>
        <v>0</v>
      </c>
      <c r="S32" s="61">
        <f>(SUMIFS('MAIN DATA, Orders'!$M:$M,'MAIN DATA, Orders'!$Q:$Q,$A32,'MAIN DATA, Orders'!$C:$C,"Germany",'MAIN DATA, Orders'!$G:$G,"Tank")/1000000000)</f>
        <v>0</v>
      </c>
      <c r="T32" s="61">
        <f>(SUMIFS('MAIN DATA, Orders'!$M:$M,'MAIN DATA, Orders'!$Q:$Q,$A32,'MAIN DATA, Orders'!$C:$C,"Germany",'MAIN DATA, Orders'!$G:$G,"Development - Tank")/1000000000)</f>
        <v>0</v>
      </c>
      <c r="U32" s="61">
        <f>(SUMIFS('MAIN DATA, Orders'!$M:$M,'MAIN DATA, Orders'!$Q:$Q,$A32,'MAIN DATA, Orders'!$C:$C,"Germany",'MAIN DATA, Orders'!$G:$G,"Maintenance")/1000000000)</f>
        <v>0</v>
      </c>
      <c r="V32" s="61">
        <f>(SUMIFS('MAIN DATA, Orders'!$M:$M,'MAIN DATA, Orders'!$Q:$Q,$A32,'MAIN DATA, Orders'!$C:$C,"Germany",'MAIN DATA, Orders'!$G:$G,"Development - Maintenance")/1000000000)</f>
        <v>0</v>
      </c>
      <c r="W32" s="61">
        <f>(SUMIFS('MAIN DATA, Orders'!$M:$M,'MAIN DATA, Orders'!$Q:$Q,$A32,'MAIN DATA, Orders'!$C:$C,"Germany",'MAIN DATA, Orders'!$G:$G,"Mine")/1000000000)</f>
        <v>0</v>
      </c>
      <c r="X32" s="61">
        <f>(SUMIFS('MAIN DATA, Orders'!$M:$M,'MAIN DATA, Orders'!$Q:$Q,$A32,'MAIN DATA, Orders'!$C:$C,"Germany",'MAIN DATA, Orders'!$G:$G,"Development - Mine")/1000000000)</f>
        <v>0</v>
      </c>
      <c r="Y32" s="61">
        <f>(SUMIFS('MAIN DATA, Orders'!$M:$M,'MAIN DATA, Orders'!$Q:$Q,$A32,'MAIN DATA, Orders'!$C:$C,"Germany",'MAIN DATA, Orders'!$H:$H,"6")/1000000000)</f>
        <v>0</v>
      </c>
      <c r="Z32" s="61" cm="1">
        <f t="array" ref="Z32">SUM(SUMIFS('MAIN DATA, Orders'!$M:$M,'MAIN DATA, Orders'!$Q:$Q,$A32,'MAIN DATA, Orders'!$C:$C,"Germany",'MAIN DATA, Orders'!$G:$G,{"Development - Missile (Land)","Development - Missile (Naval)","Development - Missile (Air)"})/1000000000)</f>
        <v>0</v>
      </c>
      <c r="AA32" s="61">
        <f>(SUMIFS('MAIN DATA, Orders'!$M:$M,'MAIN DATA, Orders'!$Q:$Q,$A32,'MAIN DATA, Orders'!$C:$C,"Germany",'MAIN DATA, Orders'!$G:$G,"Modernisation")/1000000000)</f>
        <v>0</v>
      </c>
      <c r="AB32" s="61">
        <f>(SUMIFS('MAIN DATA, Orders'!$M:$M,'MAIN DATA, Orders'!$Q:$Q,$A32,'MAIN DATA, Orders'!$C:$C,"Germany",'MAIN DATA, Orders'!$G:$G,"Development - Modernisation")/1000000000)</f>
        <v>0</v>
      </c>
      <c r="AC32" s="61">
        <f>(SUMIFS('MAIN DATA, Orders'!$M:$M,'MAIN DATA, Orders'!$Q:$Q,$A32,'MAIN DATA, Orders'!$C:$C,"Germany",'MAIN DATA, Orders'!$G:$G,"Naval")/1000000000)</f>
        <v>0</v>
      </c>
      <c r="AD32" s="61">
        <f>(SUMIFS('MAIN DATA, Orders'!$M:$M,'MAIN DATA, Orders'!$Q:$Q,$A32,'MAIN DATA, Orders'!$C:$C,"Germany",'MAIN DATA, Orders'!$G:$G,"Development - Naval")/1000000000)</f>
        <v>0</v>
      </c>
      <c r="AE32" s="61">
        <f>(SUMIFS('MAIN DATA, Orders'!$M:$M,'MAIN DATA, Orders'!$Q:$Q,$A32,'MAIN DATA, Orders'!$C:$C,"Germany",'MAIN DATA, Orders'!$G:$G,"Other")/1000000000)</f>
        <v>0</v>
      </c>
      <c r="AF32" s="61">
        <f>(SUMIFS('MAIN DATA, Orders'!$M:$M,'MAIN DATA, Orders'!$Q:$Q,$A32,'MAIN DATA, Orders'!$C:$C,"Germany",'MAIN DATA, Orders'!$G:$G,"Development - Other")/1000000000)</f>
        <v>0</v>
      </c>
      <c r="AG32" s="61"/>
      <c r="AH32" s="61" cm="1">
        <f t="array" ref="AH32">SUM(SUMIFS('MAIN DATA, Orders'!$M:$M,'MAIN DATA, Orders'!$Q:$Q,$A32,'MAIN DATA, Orders'!$C:$C,"Germany",'MAIN DATA, Orders'!$G:$G,{"Missile (Land)","Development - Missile (Land)"})/1000000000)</f>
        <v>0</v>
      </c>
      <c r="AI32" s="61" cm="1">
        <f t="array" ref="AI32">SUM(SUMIFS('MAIN DATA, Orders'!$M:$M,'MAIN DATA, Orders'!$C:$C,"Germany",'MAIN DATA, Orders'!$G:$G,{"Missile (Air)","Development - Missile (Air)"},'MAIN DATA, Orders'!$Q:$Q,$A32)/1000000000)</f>
        <v>0</v>
      </c>
      <c r="AJ32" s="61" cm="1">
        <f t="array" ref="AJ32">SUM(SUMIFS('MAIN DATA, Orders'!$M:$M,'MAIN DATA, Orders'!$Q:$Q,$A32,'MAIN DATA, Orders'!$C:$C,"Germany",'MAIN DATA, Orders'!$G:$G,{"Missile (Naval)","Development - Missile (Naval)"})/1000000000)</f>
        <v>0</v>
      </c>
    </row>
    <row r="33" spans="1:36">
      <c r="A33" s="72">
        <v>27</v>
      </c>
      <c r="B33" s="68">
        <v>44621</v>
      </c>
      <c r="C33" s="61">
        <f>(SUMIFS('MAIN DATA, Orders'!$M:$M,'MAIN DATA, Orders'!$Q:$Q,$A33,'MAIN DATA, Orders'!$C:$C,"Germany",'MAIN DATA, Orders'!$G:$G,"Air defence system")/1000000000)</f>
        <v>0</v>
      </c>
      <c r="D33" s="61">
        <f>(SUMIFS('MAIN DATA, Orders'!$M:$M,'MAIN DATA, Orders'!$Q:$Q,$A33,'MAIN DATA, Orders'!$C:$C,"Germany",'MAIN DATA, Orders'!$G:$G,"Development - Air defence system")/1000000000)</f>
        <v>0</v>
      </c>
      <c r="E33" s="61">
        <f>(SUMIFS('MAIN DATA, Orders'!$M:$M,'MAIN DATA, Orders'!$Q:$Q,$A33,'MAIN DATA, Orders'!$C:$C,"Germany",'MAIN DATA, Orders'!$G:$G,"Aircraft")/1000000000)</f>
        <v>0</v>
      </c>
      <c r="F33" s="61">
        <f>(SUMIFS('MAIN DATA, Orders'!$M:$M,'MAIN DATA, Orders'!$Q:$Q,$A33,'MAIN DATA, Orders'!$C:$C,"Germany",'MAIN DATA, Orders'!$G:$G,"Development - Aircraft")/1000000000)</f>
        <v>0</v>
      </c>
      <c r="G33" s="61">
        <f>(SUMIFS('MAIN DATA, Orders'!$M:$M,'MAIN DATA, Orders'!$Q:$Q,$A33,'MAIN DATA, Orders'!$C:$C,"Germany",'MAIN DATA, Orders'!$G:$G,"Ammunition")/1000000000)</f>
        <v>0</v>
      </c>
      <c r="H33" s="61">
        <f>(SUMIFS('MAIN DATA, Orders'!$M:$M,'MAIN DATA, Orders'!$Q:$Q,$A33,'MAIN DATA, Orders'!$C:$C,"Germany",'MAIN DATA, Orders'!$G:$G,"Development - Ammunition")/1000000000)</f>
        <v>0</v>
      </c>
      <c r="I33" s="61">
        <f>(SUMIFS('MAIN DATA, Orders'!$M:$M,'MAIN DATA, Orders'!$Q:$Q,$A33,'MAIN DATA, Orders'!$C:$C,"Germany",'MAIN DATA, Orders'!$G:$G,"Armoured vehicle")/1000000000)</f>
        <v>0</v>
      </c>
      <c r="J33" s="61">
        <f>(SUMIFS('MAIN DATA, Orders'!$M:$M,'MAIN DATA, Orders'!$Q:$Q,$A33,'MAIN DATA, Orders'!$C:$C,"Germany",'MAIN DATA, Orders'!$G:$G,"Development - Armoured vehicle")/1000000000)</f>
        <v>0</v>
      </c>
      <c r="K33" s="61">
        <f>(SUMIFS('MAIN DATA, Orders'!$M:$M,'MAIN DATA, Orders'!$Q:$Q,$A33,'MAIN DATA, Orders'!$C:$C,"Germany",'MAIN DATA, Orders'!$G:$G,"Artillery")/1000000000)</f>
        <v>0</v>
      </c>
      <c r="L33" s="61">
        <f>(SUMIFS('MAIN DATA, Orders'!$M:$M,'MAIN DATA, Orders'!$Q:$Q,$A33,'MAIN DATA, Orders'!$C:$C,"Germany",'MAIN DATA, Orders'!$G:$G,"Development - Artillery")/1000000000)</f>
        <v>0</v>
      </c>
      <c r="M33" s="61">
        <f>(SUMIFS('MAIN DATA, Orders'!$M:$M,'MAIN DATA, Orders'!$Q:$Q,$A33,'MAIN DATA, Orders'!$C:$C,"Germany",'MAIN DATA, Orders'!$G:$G,"Drone")/1000000000)</f>
        <v>0</v>
      </c>
      <c r="N33" s="61">
        <f>(SUMIFS('MAIN DATA, Orders'!$M:$M,'MAIN DATA, Orders'!$Q:$Q,$A33,'MAIN DATA, Orders'!$C:$C,"Germany",'MAIN DATA, Orders'!$G:$G,"Development - Drone")/1000000000)</f>
        <v>0</v>
      </c>
      <c r="O33" s="61">
        <f>(SUMIFS('MAIN DATA, Orders'!$M:$M,'MAIN DATA, Orders'!$Q:$Q,$A33,'MAIN DATA, Orders'!$C:$C,"Germany",'MAIN DATA, Orders'!$G:$G,"Helicopter")/1000000000)</f>
        <v>0</v>
      </c>
      <c r="P33" s="61">
        <f>(SUMIFS('MAIN DATA, Orders'!$M:$M,'MAIN DATA, Orders'!$Q:$Q,$A33,'MAIN DATA, Orders'!$C:$C,"Germany",'MAIN DATA, Orders'!$G:$G,"Development - Helicopter")/1000000000)</f>
        <v>0</v>
      </c>
      <c r="Q33" s="61">
        <f>(SUMIFS('MAIN DATA, Orders'!$M:$M,'MAIN DATA, Orders'!$Q:$Q,$A33,'MAIN DATA, Orders'!$C:$C,"Germany",'MAIN DATA, Orders'!$G:$G,"Infantry")/1000000000)</f>
        <v>0</v>
      </c>
      <c r="R33" s="61">
        <f>(SUMIFS('MAIN DATA, Orders'!$M:$M,'MAIN DATA, Orders'!$Q:$Q,$A33,'MAIN DATA, Orders'!$C:$C,"Germany",'MAIN DATA, Orders'!$G:$G,"Development - Infantry")/1000000000)</f>
        <v>0</v>
      </c>
      <c r="S33" s="61">
        <f>(SUMIFS('MAIN DATA, Orders'!$M:$M,'MAIN DATA, Orders'!$Q:$Q,$A33,'MAIN DATA, Orders'!$C:$C,"Germany",'MAIN DATA, Orders'!$G:$G,"Tank")/1000000000)</f>
        <v>0</v>
      </c>
      <c r="T33" s="61">
        <f>(SUMIFS('MAIN DATA, Orders'!$M:$M,'MAIN DATA, Orders'!$Q:$Q,$A33,'MAIN DATA, Orders'!$C:$C,"Germany",'MAIN DATA, Orders'!$G:$G,"Development - Tank")/1000000000)</f>
        <v>0</v>
      </c>
      <c r="U33" s="61">
        <f>(SUMIFS('MAIN DATA, Orders'!$M:$M,'MAIN DATA, Orders'!$Q:$Q,$A33,'MAIN DATA, Orders'!$C:$C,"Germany",'MAIN DATA, Orders'!$G:$G,"Maintenance")/1000000000)</f>
        <v>0</v>
      </c>
      <c r="V33" s="61">
        <f>(SUMIFS('MAIN DATA, Orders'!$M:$M,'MAIN DATA, Orders'!$Q:$Q,$A33,'MAIN DATA, Orders'!$C:$C,"Germany",'MAIN DATA, Orders'!$G:$G,"Development - Maintenance")/1000000000)</f>
        <v>0</v>
      </c>
      <c r="W33" s="61">
        <f>(SUMIFS('MAIN DATA, Orders'!$M:$M,'MAIN DATA, Orders'!$Q:$Q,$A33,'MAIN DATA, Orders'!$C:$C,"Germany",'MAIN DATA, Orders'!$G:$G,"Mine")/1000000000)</f>
        <v>0</v>
      </c>
      <c r="X33" s="61">
        <f>(SUMIFS('MAIN DATA, Orders'!$M:$M,'MAIN DATA, Orders'!$Q:$Q,$A33,'MAIN DATA, Orders'!$C:$C,"Germany",'MAIN DATA, Orders'!$G:$G,"Development - Mine")/1000000000)</f>
        <v>0</v>
      </c>
      <c r="Y33" s="61">
        <f>(SUMIFS('MAIN DATA, Orders'!$M:$M,'MAIN DATA, Orders'!$Q:$Q,$A33,'MAIN DATA, Orders'!$C:$C,"Germany",'MAIN DATA, Orders'!$H:$H,"6")/1000000000)</f>
        <v>0</v>
      </c>
      <c r="Z33" s="61" cm="1">
        <f t="array" ref="Z33">SUM(SUMIFS('MAIN DATA, Orders'!$M:$M,'MAIN DATA, Orders'!$Q:$Q,$A33,'MAIN DATA, Orders'!$C:$C,"Germany",'MAIN DATA, Orders'!$G:$G,{"Development - Missile (Land)","Development - Missile (Naval)","Development - Missile (Air)"})/1000000000)</f>
        <v>0</v>
      </c>
      <c r="AA33" s="61">
        <f>(SUMIFS('MAIN DATA, Orders'!$M:$M,'MAIN DATA, Orders'!$Q:$Q,$A33,'MAIN DATA, Orders'!$C:$C,"Germany",'MAIN DATA, Orders'!$G:$G,"Modernisation")/1000000000)</f>
        <v>0</v>
      </c>
      <c r="AB33" s="61">
        <f>(SUMIFS('MAIN DATA, Orders'!$M:$M,'MAIN DATA, Orders'!$Q:$Q,$A33,'MAIN DATA, Orders'!$C:$C,"Germany",'MAIN DATA, Orders'!$G:$G,"Development - Modernisation")/1000000000)</f>
        <v>0</v>
      </c>
      <c r="AC33" s="61">
        <f>(SUMIFS('MAIN DATA, Orders'!$M:$M,'MAIN DATA, Orders'!$Q:$Q,$A33,'MAIN DATA, Orders'!$C:$C,"Germany",'MAIN DATA, Orders'!$G:$G,"Naval")/1000000000)</f>
        <v>0</v>
      </c>
      <c r="AD33" s="61">
        <f>(SUMIFS('MAIN DATA, Orders'!$M:$M,'MAIN DATA, Orders'!$Q:$Q,$A33,'MAIN DATA, Orders'!$C:$C,"Germany",'MAIN DATA, Orders'!$G:$G,"Development - Naval")/1000000000)</f>
        <v>0</v>
      </c>
      <c r="AE33" s="61">
        <f>(SUMIFS('MAIN DATA, Orders'!$M:$M,'MAIN DATA, Orders'!$Q:$Q,$A33,'MAIN DATA, Orders'!$C:$C,"Germany",'MAIN DATA, Orders'!$G:$G,"Other")/1000000000)</f>
        <v>0</v>
      </c>
      <c r="AF33" s="61">
        <f>(SUMIFS('MAIN DATA, Orders'!$M:$M,'MAIN DATA, Orders'!$Q:$Q,$A33,'MAIN DATA, Orders'!$C:$C,"Germany",'MAIN DATA, Orders'!$G:$G,"Development - Other")/1000000000)</f>
        <v>0</v>
      </c>
      <c r="AG33" s="61"/>
      <c r="AH33" s="61" cm="1">
        <f t="array" ref="AH33">SUM(SUMIFS('MAIN DATA, Orders'!$M:$M,'MAIN DATA, Orders'!$Q:$Q,$A33,'MAIN DATA, Orders'!$C:$C,"Germany",'MAIN DATA, Orders'!$G:$G,{"Missile (Land)","Development - Missile (Land)"})/1000000000)</f>
        <v>0</v>
      </c>
      <c r="AI33" s="61" cm="1">
        <f t="array" ref="AI33">SUM(SUMIFS('MAIN DATA, Orders'!$M:$M,'MAIN DATA, Orders'!$C:$C,"Germany",'MAIN DATA, Orders'!$G:$G,{"Missile (Air)","Development - Missile (Air)"},'MAIN DATA, Orders'!$Q:$Q,$A33)/1000000000)</f>
        <v>0</v>
      </c>
      <c r="AJ33" s="61" cm="1">
        <f t="array" ref="AJ33">SUM(SUMIFS('MAIN DATA, Orders'!$M:$M,'MAIN DATA, Orders'!$Q:$Q,$A33,'MAIN DATA, Orders'!$C:$C,"Germany",'MAIN DATA, Orders'!$G:$G,{"Missile (Naval)","Development - Missile (Naval)"})/1000000000)</f>
        <v>0</v>
      </c>
    </row>
    <row r="34" spans="1:36">
      <c r="A34" s="72">
        <v>28</v>
      </c>
      <c r="B34" s="68">
        <v>44652</v>
      </c>
      <c r="C34" s="61">
        <f>(SUMIFS('MAIN DATA, Orders'!$M:$M,'MAIN DATA, Orders'!$Q:$Q,$A34,'MAIN DATA, Orders'!$C:$C,"Germany",'MAIN DATA, Orders'!$G:$G,"Air defence system")/1000000000)</f>
        <v>0</v>
      </c>
      <c r="D34" s="61">
        <f>(SUMIFS('MAIN DATA, Orders'!$M:$M,'MAIN DATA, Orders'!$Q:$Q,$A34,'MAIN DATA, Orders'!$C:$C,"Germany",'MAIN DATA, Orders'!$G:$G,"Development - Air defence system")/1000000000)</f>
        <v>0</v>
      </c>
      <c r="E34" s="61">
        <f>(SUMIFS('MAIN DATA, Orders'!$M:$M,'MAIN DATA, Orders'!$Q:$Q,$A34,'MAIN DATA, Orders'!$C:$C,"Germany",'MAIN DATA, Orders'!$G:$G,"Aircraft")/1000000000)</f>
        <v>0</v>
      </c>
      <c r="F34" s="61">
        <f>(SUMIFS('MAIN DATA, Orders'!$M:$M,'MAIN DATA, Orders'!$Q:$Q,$A34,'MAIN DATA, Orders'!$C:$C,"Germany",'MAIN DATA, Orders'!$G:$G,"Development - Aircraft")/1000000000)</f>
        <v>0</v>
      </c>
      <c r="G34" s="61">
        <f>(SUMIFS('MAIN DATA, Orders'!$M:$M,'MAIN DATA, Orders'!$Q:$Q,$A34,'MAIN DATA, Orders'!$C:$C,"Germany",'MAIN DATA, Orders'!$G:$G,"Ammunition")/1000000000)</f>
        <v>0</v>
      </c>
      <c r="H34" s="61">
        <f>(SUMIFS('MAIN DATA, Orders'!$M:$M,'MAIN DATA, Orders'!$Q:$Q,$A34,'MAIN DATA, Orders'!$C:$C,"Germany",'MAIN DATA, Orders'!$G:$G,"Development - Ammunition")/1000000000)</f>
        <v>0</v>
      </c>
      <c r="I34" s="61">
        <f>(SUMIFS('MAIN DATA, Orders'!$M:$M,'MAIN DATA, Orders'!$Q:$Q,$A34,'MAIN DATA, Orders'!$C:$C,"Germany",'MAIN DATA, Orders'!$G:$G,"Armoured vehicle")/1000000000)</f>
        <v>0</v>
      </c>
      <c r="J34" s="61">
        <f>(SUMIFS('MAIN DATA, Orders'!$M:$M,'MAIN DATA, Orders'!$Q:$Q,$A34,'MAIN DATA, Orders'!$C:$C,"Germany",'MAIN DATA, Orders'!$G:$G,"Development - Armoured vehicle")/1000000000)</f>
        <v>0</v>
      </c>
      <c r="K34" s="61">
        <f>(SUMIFS('MAIN DATA, Orders'!$M:$M,'MAIN DATA, Orders'!$Q:$Q,$A34,'MAIN DATA, Orders'!$C:$C,"Germany",'MAIN DATA, Orders'!$G:$G,"Artillery")/1000000000)</f>
        <v>0</v>
      </c>
      <c r="L34" s="61">
        <f>(SUMIFS('MAIN DATA, Orders'!$M:$M,'MAIN DATA, Orders'!$Q:$Q,$A34,'MAIN DATA, Orders'!$C:$C,"Germany",'MAIN DATA, Orders'!$G:$G,"Development - Artillery")/1000000000)</f>
        <v>0</v>
      </c>
      <c r="M34" s="61">
        <f>(SUMIFS('MAIN DATA, Orders'!$M:$M,'MAIN DATA, Orders'!$Q:$Q,$A34,'MAIN DATA, Orders'!$C:$C,"Germany",'MAIN DATA, Orders'!$G:$G,"Drone")/1000000000)</f>
        <v>0</v>
      </c>
      <c r="N34" s="61">
        <f>(SUMIFS('MAIN DATA, Orders'!$M:$M,'MAIN DATA, Orders'!$Q:$Q,$A34,'MAIN DATA, Orders'!$C:$C,"Germany",'MAIN DATA, Orders'!$G:$G,"Development - Drone")/1000000000)</f>
        <v>0</v>
      </c>
      <c r="O34" s="61">
        <f>(SUMIFS('MAIN DATA, Orders'!$M:$M,'MAIN DATA, Orders'!$Q:$Q,$A34,'MAIN DATA, Orders'!$C:$C,"Germany",'MAIN DATA, Orders'!$G:$G,"Helicopter")/1000000000)</f>
        <v>0</v>
      </c>
      <c r="P34" s="61">
        <f>(SUMIFS('MAIN DATA, Orders'!$M:$M,'MAIN DATA, Orders'!$Q:$Q,$A34,'MAIN DATA, Orders'!$C:$C,"Germany",'MAIN DATA, Orders'!$G:$G,"Development - Helicopter")/1000000000)</f>
        <v>0</v>
      </c>
      <c r="Q34" s="61">
        <f>(SUMIFS('MAIN DATA, Orders'!$M:$M,'MAIN DATA, Orders'!$Q:$Q,$A34,'MAIN DATA, Orders'!$C:$C,"Germany",'MAIN DATA, Orders'!$G:$G,"Infantry")/1000000000)</f>
        <v>0</v>
      </c>
      <c r="R34" s="61">
        <f>(SUMIFS('MAIN DATA, Orders'!$M:$M,'MAIN DATA, Orders'!$Q:$Q,$A34,'MAIN DATA, Orders'!$C:$C,"Germany",'MAIN DATA, Orders'!$G:$G,"Development - Infantry")/1000000000)</f>
        <v>0</v>
      </c>
      <c r="S34" s="61">
        <f>(SUMIFS('MAIN DATA, Orders'!$M:$M,'MAIN DATA, Orders'!$Q:$Q,$A34,'MAIN DATA, Orders'!$C:$C,"Germany",'MAIN DATA, Orders'!$G:$G,"Tank")/1000000000)</f>
        <v>0</v>
      </c>
      <c r="T34" s="61">
        <f>(SUMIFS('MAIN DATA, Orders'!$M:$M,'MAIN DATA, Orders'!$Q:$Q,$A34,'MAIN DATA, Orders'!$C:$C,"Germany",'MAIN DATA, Orders'!$G:$G,"Development - Tank")/1000000000)</f>
        <v>0</v>
      </c>
      <c r="U34" s="61">
        <f>(SUMIFS('MAIN DATA, Orders'!$M:$M,'MAIN DATA, Orders'!$Q:$Q,$A34,'MAIN DATA, Orders'!$C:$C,"Germany",'MAIN DATA, Orders'!$G:$G,"Maintenance")/1000000000)</f>
        <v>0</v>
      </c>
      <c r="V34" s="61">
        <f>(SUMIFS('MAIN DATA, Orders'!$M:$M,'MAIN DATA, Orders'!$Q:$Q,$A34,'MAIN DATA, Orders'!$C:$C,"Germany",'MAIN DATA, Orders'!$G:$G,"Development - Maintenance")/1000000000)</f>
        <v>0</v>
      </c>
      <c r="W34" s="61">
        <f>(SUMIFS('MAIN DATA, Orders'!$M:$M,'MAIN DATA, Orders'!$Q:$Q,$A34,'MAIN DATA, Orders'!$C:$C,"Germany",'MAIN DATA, Orders'!$G:$G,"Mine")/1000000000)</f>
        <v>0</v>
      </c>
      <c r="X34" s="61">
        <f>(SUMIFS('MAIN DATA, Orders'!$M:$M,'MAIN DATA, Orders'!$Q:$Q,$A34,'MAIN DATA, Orders'!$C:$C,"Germany",'MAIN DATA, Orders'!$G:$G,"Development - Mine")/1000000000)</f>
        <v>0</v>
      </c>
      <c r="Y34" s="61">
        <f>(SUMIFS('MAIN DATA, Orders'!$M:$M,'MAIN DATA, Orders'!$Q:$Q,$A34,'MAIN DATA, Orders'!$C:$C,"Germany",'MAIN DATA, Orders'!$H:$H,"6")/1000000000)</f>
        <v>0.15</v>
      </c>
      <c r="Z34" s="61" cm="1">
        <f t="array" ref="Z34">SUM(SUMIFS('MAIN DATA, Orders'!$M:$M,'MAIN DATA, Orders'!$Q:$Q,$A34,'MAIN DATA, Orders'!$C:$C,"Germany",'MAIN DATA, Orders'!$G:$G,{"Development - Missile (Land)","Development - Missile (Naval)","Development - Missile (Air)"})/1000000000)</f>
        <v>0</v>
      </c>
      <c r="AA34" s="61">
        <f>(SUMIFS('MAIN DATA, Orders'!$M:$M,'MAIN DATA, Orders'!$Q:$Q,$A34,'MAIN DATA, Orders'!$C:$C,"Germany",'MAIN DATA, Orders'!$G:$G,"Modernisation")/1000000000)</f>
        <v>0</v>
      </c>
      <c r="AB34" s="61">
        <f>(SUMIFS('MAIN DATA, Orders'!$M:$M,'MAIN DATA, Orders'!$Q:$Q,$A34,'MAIN DATA, Orders'!$C:$C,"Germany",'MAIN DATA, Orders'!$G:$G,"Development - Modernisation")/1000000000)</f>
        <v>0</v>
      </c>
      <c r="AC34" s="61">
        <f>(SUMIFS('MAIN DATA, Orders'!$M:$M,'MAIN DATA, Orders'!$Q:$Q,$A34,'MAIN DATA, Orders'!$C:$C,"Germany",'MAIN DATA, Orders'!$G:$G,"Naval")/1000000000)</f>
        <v>0</v>
      </c>
      <c r="AD34" s="61">
        <f>(SUMIFS('MAIN DATA, Orders'!$M:$M,'MAIN DATA, Orders'!$Q:$Q,$A34,'MAIN DATA, Orders'!$C:$C,"Germany",'MAIN DATA, Orders'!$G:$G,"Development - Naval")/1000000000)</f>
        <v>0</v>
      </c>
      <c r="AE34" s="61">
        <f>(SUMIFS('MAIN DATA, Orders'!$M:$M,'MAIN DATA, Orders'!$Q:$Q,$A34,'MAIN DATA, Orders'!$C:$C,"Germany",'MAIN DATA, Orders'!$G:$G,"Other")/1000000000)</f>
        <v>0</v>
      </c>
      <c r="AF34" s="61">
        <f>(SUMIFS('MAIN DATA, Orders'!$M:$M,'MAIN DATA, Orders'!$Q:$Q,$A34,'MAIN DATA, Orders'!$C:$C,"Germany",'MAIN DATA, Orders'!$G:$G,"Development - Other")/1000000000)</f>
        <v>0</v>
      </c>
      <c r="AG34" s="61"/>
      <c r="AH34" s="61" cm="1">
        <f t="array" ref="AH34">SUM(SUMIFS('MAIN DATA, Orders'!$M:$M,'MAIN DATA, Orders'!$Q:$Q,$A34,'MAIN DATA, Orders'!$C:$C,"Germany",'MAIN DATA, Orders'!$G:$G,{"Missile (Land)","Development - Missile (Land)"})/1000000000)</f>
        <v>0.15</v>
      </c>
      <c r="AI34" s="61" cm="1">
        <f t="array" ref="AI34">SUM(SUMIFS('MAIN DATA, Orders'!$M:$M,'MAIN DATA, Orders'!$C:$C,"Germany",'MAIN DATA, Orders'!$G:$G,{"Missile (Air)","Development - Missile (Air)"},'MAIN DATA, Orders'!$Q:$Q,$A34)/1000000000)</f>
        <v>0</v>
      </c>
      <c r="AJ34" s="61" cm="1">
        <f t="array" ref="AJ34">SUM(SUMIFS('MAIN DATA, Orders'!$M:$M,'MAIN DATA, Orders'!$Q:$Q,$A34,'MAIN DATA, Orders'!$C:$C,"Germany",'MAIN DATA, Orders'!$G:$G,{"Missile (Naval)","Development - Missile (Naval)"})/1000000000)</f>
        <v>0</v>
      </c>
    </row>
    <row r="35" spans="1:36">
      <c r="A35" s="72">
        <v>29</v>
      </c>
      <c r="B35" s="68">
        <v>44682</v>
      </c>
      <c r="C35" s="61">
        <f>(SUMIFS('MAIN DATA, Orders'!$M:$M,'MAIN DATA, Orders'!$Q:$Q,$A35,'MAIN DATA, Orders'!$C:$C,"Germany",'MAIN DATA, Orders'!$G:$G,"Air defence system")/1000000000)</f>
        <v>0</v>
      </c>
      <c r="D35" s="61">
        <f>(SUMIFS('MAIN DATA, Orders'!$M:$M,'MAIN DATA, Orders'!$Q:$Q,$A35,'MAIN DATA, Orders'!$C:$C,"Germany",'MAIN DATA, Orders'!$G:$G,"Development - Air defence system")/1000000000)</f>
        <v>0</v>
      </c>
      <c r="E35" s="61">
        <f>(SUMIFS('MAIN DATA, Orders'!$M:$M,'MAIN DATA, Orders'!$Q:$Q,$A35,'MAIN DATA, Orders'!$C:$C,"Germany",'MAIN DATA, Orders'!$G:$G,"Aircraft")/1000000000)</f>
        <v>0</v>
      </c>
      <c r="F35" s="61">
        <f>(SUMIFS('MAIN DATA, Orders'!$M:$M,'MAIN DATA, Orders'!$Q:$Q,$A35,'MAIN DATA, Orders'!$C:$C,"Germany",'MAIN DATA, Orders'!$G:$G,"Development - Aircraft")/1000000000)</f>
        <v>0</v>
      </c>
      <c r="G35" s="61">
        <f>(SUMIFS('MAIN DATA, Orders'!$M:$M,'MAIN DATA, Orders'!$Q:$Q,$A35,'MAIN DATA, Orders'!$C:$C,"Germany",'MAIN DATA, Orders'!$G:$G,"Ammunition")/1000000000)</f>
        <v>0</v>
      </c>
      <c r="H35" s="61">
        <f>(SUMIFS('MAIN DATA, Orders'!$M:$M,'MAIN DATA, Orders'!$Q:$Q,$A35,'MAIN DATA, Orders'!$C:$C,"Germany",'MAIN DATA, Orders'!$G:$G,"Development - Ammunition")/1000000000)</f>
        <v>0</v>
      </c>
      <c r="I35" s="61">
        <f>(SUMIFS('MAIN DATA, Orders'!$M:$M,'MAIN DATA, Orders'!$Q:$Q,$A35,'MAIN DATA, Orders'!$C:$C,"Germany",'MAIN DATA, Orders'!$G:$G,"Armoured vehicle")/1000000000)</f>
        <v>0</v>
      </c>
      <c r="J35" s="61">
        <f>(SUMIFS('MAIN DATA, Orders'!$M:$M,'MAIN DATA, Orders'!$Q:$Q,$A35,'MAIN DATA, Orders'!$C:$C,"Germany",'MAIN DATA, Orders'!$G:$G,"Development - Armoured vehicle")/1000000000)</f>
        <v>0</v>
      </c>
      <c r="K35" s="61">
        <f>(SUMIFS('MAIN DATA, Orders'!$M:$M,'MAIN DATA, Orders'!$Q:$Q,$A35,'MAIN DATA, Orders'!$C:$C,"Germany",'MAIN DATA, Orders'!$G:$G,"Artillery")/1000000000)</f>
        <v>0</v>
      </c>
      <c r="L35" s="61">
        <f>(SUMIFS('MAIN DATA, Orders'!$M:$M,'MAIN DATA, Orders'!$Q:$Q,$A35,'MAIN DATA, Orders'!$C:$C,"Germany",'MAIN DATA, Orders'!$G:$G,"Development - Artillery")/1000000000)</f>
        <v>0</v>
      </c>
      <c r="M35" s="61">
        <f>(SUMIFS('MAIN DATA, Orders'!$M:$M,'MAIN DATA, Orders'!$Q:$Q,$A35,'MAIN DATA, Orders'!$C:$C,"Germany",'MAIN DATA, Orders'!$G:$G,"Drone")/1000000000)</f>
        <v>0</v>
      </c>
      <c r="N35" s="61">
        <f>(SUMIFS('MAIN DATA, Orders'!$M:$M,'MAIN DATA, Orders'!$Q:$Q,$A35,'MAIN DATA, Orders'!$C:$C,"Germany",'MAIN DATA, Orders'!$G:$G,"Development - Drone")/1000000000)</f>
        <v>0</v>
      </c>
      <c r="O35" s="61">
        <f>(SUMIFS('MAIN DATA, Orders'!$M:$M,'MAIN DATA, Orders'!$Q:$Q,$A35,'MAIN DATA, Orders'!$C:$C,"Germany",'MAIN DATA, Orders'!$G:$G,"Helicopter")/1000000000)</f>
        <v>0</v>
      </c>
      <c r="P35" s="61">
        <f>(SUMIFS('MAIN DATA, Orders'!$M:$M,'MAIN DATA, Orders'!$Q:$Q,$A35,'MAIN DATA, Orders'!$C:$C,"Germany",'MAIN DATA, Orders'!$G:$G,"Development - Helicopter")/1000000000)</f>
        <v>0</v>
      </c>
      <c r="Q35" s="61">
        <f>(SUMIFS('MAIN DATA, Orders'!$M:$M,'MAIN DATA, Orders'!$Q:$Q,$A35,'MAIN DATA, Orders'!$C:$C,"Germany",'MAIN DATA, Orders'!$G:$G,"Infantry")/1000000000)</f>
        <v>0</v>
      </c>
      <c r="R35" s="61">
        <f>(SUMIFS('MAIN DATA, Orders'!$M:$M,'MAIN DATA, Orders'!$Q:$Q,$A35,'MAIN DATA, Orders'!$C:$C,"Germany",'MAIN DATA, Orders'!$G:$G,"Development - Infantry")/1000000000)</f>
        <v>0</v>
      </c>
      <c r="S35" s="61">
        <f>(SUMIFS('MAIN DATA, Orders'!$M:$M,'MAIN DATA, Orders'!$Q:$Q,$A35,'MAIN DATA, Orders'!$C:$C,"Germany",'MAIN DATA, Orders'!$G:$G,"Tank")/1000000000)</f>
        <v>0</v>
      </c>
      <c r="T35" s="61">
        <f>(SUMIFS('MAIN DATA, Orders'!$M:$M,'MAIN DATA, Orders'!$Q:$Q,$A35,'MAIN DATA, Orders'!$C:$C,"Germany",'MAIN DATA, Orders'!$G:$G,"Development - Tank")/1000000000)</f>
        <v>0</v>
      </c>
      <c r="U35" s="61">
        <f>(SUMIFS('MAIN DATA, Orders'!$M:$M,'MAIN DATA, Orders'!$Q:$Q,$A35,'MAIN DATA, Orders'!$C:$C,"Germany",'MAIN DATA, Orders'!$G:$G,"Maintenance")/1000000000)</f>
        <v>5.1900000000000002E-2</v>
      </c>
      <c r="V35" s="61">
        <f>(SUMIFS('MAIN DATA, Orders'!$M:$M,'MAIN DATA, Orders'!$Q:$Q,$A35,'MAIN DATA, Orders'!$C:$C,"Germany",'MAIN DATA, Orders'!$G:$G,"Development - Maintenance")/1000000000)</f>
        <v>0</v>
      </c>
      <c r="W35" s="61">
        <f>(SUMIFS('MAIN DATA, Orders'!$M:$M,'MAIN DATA, Orders'!$Q:$Q,$A35,'MAIN DATA, Orders'!$C:$C,"Germany",'MAIN DATA, Orders'!$G:$G,"Mine")/1000000000)</f>
        <v>0</v>
      </c>
      <c r="X35" s="61">
        <f>(SUMIFS('MAIN DATA, Orders'!$M:$M,'MAIN DATA, Orders'!$Q:$Q,$A35,'MAIN DATA, Orders'!$C:$C,"Germany",'MAIN DATA, Orders'!$G:$G,"Development - Mine")/1000000000)</f>
        <v>0</v>
      </c>
      <c r="Y35" s="61">
        <f>(SUMIFS('MAIN DATA, Orders'!$M:$M,'MAIN DATA, Orders'!$Q:$Q,$A35,'MAIN DATA, Orders'!$C:$C,"Germany",'MAIN DATA, Orders'!$H:$H,"6")/1000000000)</f>
        <v>0</v>
      </c>
      <c r="Z35" s="61" cm="1">
        <f t="array" ref="Z35">SUM(SUMIFS('MAIN DATA, Orders'!$M:$M,'MAIN DATA, Orders'!$Q:$Q,$A35,'MAIN DATA, Orders'!$C:$C,"Germany",'MAIN DATA, Orders'!$G:$G,{"Development - Missile (Land)","Development - Missile (Naval)","Development - Missile (Air)"})/1000000000)</f>
        <v>0</v>
      </c>
      <c r="AA35" s="61">
        <f>(SUMIFS('MAIN DATA, Orders'!$M:$M,'MAIN DATA, Orders'!$Q:$Q,$A35,'MAIN DATA, Orders'!$C:$C,"Germany",'MAIN DATA, Orders'!$G:$G,"Modernisation")/1000000000)</f>
        <v>2.4620000000000002</v>
      </c>
      <c r="AB35" s="61">
        <f>(SUMIFS('MAIN DATA, Orders'!$M:$M,'MAIN DATA, Orders'!$Q:$Q,$A35,'MAIN DATA, Orders'!$C:$C,"Germany",'MAIN DATA, Orders'!$G:$G,"Development - Modernisation")/1000000000)</f>
        <v>0</v>
      </c>
      <c r="AC35" s="61">
        <f>(SUMIFS('MAIN DATA, Orders'!$M:$M,'MAIN DATA, Orders'!$Q:$Q,$A35,'MAIN DATA, Orders'!$C:$C,"Germany",'MAIN DATA, Orders'!$G:$G,"Naval")/1000000000)</f>
        <v>0</v>
      </c>
      <c r="AD35" s="61">
        <f>(SUMIFS('MAIN DATA, Orders'!$M:$M,'MAIN DATA, Orders'!$Q:$Q,$A35,'MAIN DATA, Orders'!$C:$C,"Germany",'MAIN DATA, Orders'!$G:$G,"Development - Naval")/1000000000)</f>
        <v>0</v>
      </c>
      <c r="AE35" s="61">
        <f>(SUMIFS('MAIN DATA, Orders'!$M:$M,'MAIN DATA, Orders'!$Q:$Q,$A35,'MAIN DATA, Orders'!$C:$C,"Germany",'MAIN DATA, Orders'!$G:$G,"Other")/1000000000)</f>
        <v>0</v>
      </c>
      <c r="AF35" s="61">
        <f>(SUMIFS('MAIN DATA, Orders'!$M:$M,'MAIN DATA, Orders'!$Q:$Q,$A35,'MAIN DATA, Orders'!$C:$C,"Germany",'MAIN DATA, Orders'!$G:$G,"Development - Other")/1000000000)</f>
        <v>0</v>
      </c>
      <c r="AG35" s="61"/>
      <c r="AH35" s="61" cm="1">
        <f t="array" ref="AH35">SUM(SUMIFS('MAIN DATA, Orders'!$M:$M,'MAIN DATA, Orders'!$Q:$Q,$A35,'MAIN DATA, Orders'!$C:$C,"Germany",'MAIN DATA, Orders'!$G:$G,{"Missile (Land)","Development - Missile (Land)"})/1000000000)</f>
        <v>0</v>
      </c>
      <c r="AI35" s="61" cm="1">
        <f t="array" ref="AI35">SUM(SUMIFS('MAIN DATA, Orders'!$M:$M,'MAIN DATA, Orders'!$C:$C,"Germany",'MAIN DATA, Orders'!$G:$G,{"Missile (Air)","Development - Missile (Air)"},'MAIN DATA, Orders'!$Q:$Q,$A35)/1000000000)</f>
        <v>0</v>
      </c>
      <c r="AJ35" s="61" cm="1">
        <f t="array" ref="AJ35">SUM(SUMIFS('MAIN DATA, Orders'!$M:$M,'MAIN DATA, Orders'!$Q:$Q,$A35,'MAIN DATA, Orders'!$C:$C,"Germany",'MAIN DATA, Orders'!$G:$G,{"Missile (Naval)","Development - Missile (Naval)"})/1000000000)</f>
        <v>0</v>
      </c>
    </row>
    <row r="36" spans="1:36">
      <c r="A36" s="72">
        <v>30</v>
      </c>
      <c r="B36" s="68">
        <v>44713</v>
      </c>
      <c r="C36" s="61">
        <f>(SUMIFS('MAIN DATA, Orders'!$M:$M,'MAIN DATA, Orders'!$Q:$Q,$A36,'MAIN DATA, Orders'!$C:$C,"Germany",'MAIN DATA, Orders'!$G:$G,"Air defence system")/1000000000)</f>
        <v>0</v>
      </c>
      <c r="D36" s="61">
        <f>(SUMIFS('MAIN DATA, Orders'!$M:$M,'MAIN DATA, Orders'!$Q:$Q,$A36,'MAIN DATA, Orders'!$C:$C,"Germany",'MAIN DATA, Orders'!$G:$G,"Development - Air defence system")/1000000000)</f>
        <v>0</v>
      </c>
      <c r="E36" s="61">
        <f>(SUMIFS('MAIN DATA, Orders'!$M:$M,'MAIN DATA, Orders'!$Q:$Q,$A36,'MAIN DATA, Orders'!$C:$C,"Germany",'MAIN DATA, Orders'!$G:$G,"Aircraft")/1000000000)</f>
        <v>0</v>
      </c>
      <c r="F36" s="61">
        <f>(SUMIFS('MAIN DATA, Orders'!$M:$M,'MAIN DATA, Orders'!$Q:$Q,$A36,'MAIN DATA, Orders'!$C:$C,"Germany",'MAIN DATA, Orders'!$G:$G,"Development - Aircraft")/1000000000)</f>
        <v>0</v>
      </c>
      <c r="G36" s="61">
        <f>(SUMIFS('MAIN DATA, Orders'!$M:$M,'MAIN DATA, Orders'!$Q:$Q,$A36,'MAIN DATA, Orders'!$C:$C,"Germany",'MAIN DATA, Orders'!$G:$G,"Ammunition")/1000000000)</f>
        <v>0</v>
      </c>
      <c r="H36" s="61">
        <f>(SUMIFS('MAIN DATA, Orders'!$M:$M,'MAIN DATA, Orders'!$Q:$Q,$A36,'MAIN DATA, Orders'!$C:$C,"Germany",'MAIN DATA, Orders'!$G:$G,"Development - Ammunition")/1000000000)</f>
        <v>0</v>
      </c>
      <c r="I36" s="61">
        <f>(SUMIFS('MAIN DATA, Orders'!$M:$M,'MAIN DATA, Orders'!$Q:$Q,$A36,'MAIN DATA, Orders'!$C:$C,"Germany",'MAIN DATA, Orders'!$G:$G,"Armoured vehicle")/1000000000)</f>
        <v>0</v>
      </c>
      <c r="J36" s="61">
        <f>(SUMIFS('MAIN DATA, Orders'!$M:$M,'MAIN DATA, Orders'!$Q:$Q,$A36,'MAIN DATA, Orders'!$C:$C,"Germany",'MAIN DATA, Orders'!$G:$G,"Development - Armoured vehicle")/1000000000)</f>
        <v>0</v>
      </c>
      <c r="K36" s="61">
        <f>(SUMIFS('MAIN DATA, Orders'!$M:$M,'MAIN DATA, Orders'!$Q:$Q,$A36,'MAIN DATA, Orders'!$C:$C,"Germany",'MAIN DATA, Orders'!$G:$G,"Artillery")/1000000000)</f>
        <v>0</v>
      </c>
      <c r="L36" s="61">
        <f>(SUMIFS('MAIN DATA, Orders'!$M:$M,'MAIN DATA, Orders'!$Q:$Q,$A36,'MAIN DATA, Orders'!$C:$C,"Germany",'MAIN DATA, Orders'!$G:$G,"Development - Artillery")/1000000000)</f>
        <v>0</v>
      </c>
      <c r="M36" s="61">
        <f>(SUMIFS('MAIN DATA, Orders'!$M:$M,'MAIN DATA, Orders'!$Q:$Q,$A36,'MAIN DATA, Orders'!$C:$C,"Germany",'MAIN DATA, Orders'!$G:$G,"Drone")/1000000000)</f>
        <v>0</v>
      </c>
      <c r="N36" s="61">
        <f>(SUMIFS('MAIN DATA, Orders'!$M:$M,'MAIN DATA, Orders'!$Q:$Q,$A36,'MAIN DATA, Orders'!$C:$C,"Germany",'MAIN DATA, Orders'!$G:$G,"Development - Drone")/1000000000)</f>
        <v>0</v>
      </c>
      <c r="O36" s="61">
        <f>(SUMIFS('MAIN DATA, Orders'!$M:$M,'MAIN DATA, Orders'!$Q:$Q,$A36,'MAIN DATA, Orders'!$C:$C,"Germany",'MAIN DATA, Orders'!$G:$G,"Helicopter")/1000000000)</f>
        <v>0</v>
      </c>
      <c r="P36" s="61">
        <f>(SUMIFS('MAIN DATA, Orders'!$M:$M,'MAIN DATA, Orders'!$Q:$Q,$A36,'MAIN DATA, Orders'!$C:$C,"Germany",'MAIN DATA, Orders'!$G:$G,"Development - Helicopter")/1000000000)</f>
        <v>0</v>
      </c>
      <c r="Q36" s="61">
        <f>(SUMIFS('MAIN DATA, Orders'!$M:$M,'MAIN DATA, Orders'!$Q:$Q,$A36,'MAIN DATA, Orders'!$C:$C,"Germany",'MAIN DATA, Orders'!$G:$G,"Infantry")/1000000000)</f>
        <v>0</v>
      </c>
      <c r="R36" s="61">
        <f>(SUMIFS('MAIN DATA, Orders'!$M:$M,'MAIN DATA, Orders'!$Q:$Q,$A36,'MAIN DATA, Orders'!$C:$C,"Germany",'MAIN DATA, Orders'!$G:$G,"Development - Infantry")/1000000000)</f>
        <v>0</v>
      </c>
      <c r="S36" s="61">
        <f>(SUMIFS('MAIN DATA, Orders'!$M:$M,'MAIN DATA, Orders'!$Q:$Q,$A36,'MAIN DATA, Orders'!$C:$C,"Germany",'MAIN DATA, Orders'!$G:$G,"Tank")/1000000000)</f>
        <v>0</v>
      </c>
      <c r="T36" s="61">
        <f>(SUMIFS('MAIN DATA, Orders'!$M:$M,'MAIN DATA, Orders'!$Q:$Q,$A36,'MAIN DATA, Orders'!$C:$C,"Germany",'MAIN DATA, Orders'!$G:$G,"Development - Tank")/1000000000)</f>
        <v>0</v>
      </c>
      <c r="U36" s="61">
        <f>(SUMIFS('MAIN DATA, Orders'!$M:$M,'MAIN DATA, Orders'!$Q:$Q,$A36,'MAIN DATA, Orders'!$C:$C,"Germany",'MAIN DATA, Orders'!$G:$G,"Maintenance")/1000000000)</f>
        <v>0</v>
      </c>
      <c r="V36" s="61">
        <f>(SUMIFS('MAIN DATA, Orders'!$M:$M,'MAIN DATA, Orders'!$Q:$Q,$A36,'MAIN DATA, Orders'!$C:$C,"Germany",'MAIN DATA, Orders'!$G:$G,"Development - Maintenance")/1000000000)</f>
        <v>0</v>
      </c>
      <c r="W36" s="61">
        <f>(SUMIFS('MAIN DATA, Orders'!$M:$M,'MAIN DATA, Orders'!$Q:$Q,$A36,'MAIN DATA, Orders'!$C:$C,"Germany",'MAIN DATA, Orders'!$G:$G,"Mine")/1000000000)</f>
        <v>0</v>
      </c>
      <c r="X36" s="61">
        <f>(SUMIFS('MAIN DATA, Orders'!$M:$M,'MAIN DATA, Orders'!$Q:$Q,$A36,'MAIN DATA, Orders'!$C:$C,"Germany",'MAIN DATA, Orders'!$G:$G,"Development - Mine")/1000000000)</f>
        <v>0</v>
      </c>
      <c r="Y36" s="61">
        <f>(SUMIFS('MAIN DATA, Orders'!$M:$M,'MAIN DATA, Orders'!$Q:$Q,$A36,'MAIN DATA, Orders'!$C:$C,"Germany",'MAIN DATA, Orders'!$H:$H,"6")/1000000000)</f>
        <v>0</v>
      </c>
      <c r="Z36" s="61" cm="1">
        <f t="array" ref="Z36">SUM(SUMIFS('MAIN DATA, Orders'!$M:$M,'MAIN DATA, Orders'!$Q:$Q,$A36,'MAIN DATA, Orders'!$C:$C,"Germany",'MAIN DATA, Orders'!$G:$G,{"Development - Missile (Land)","Development - Missile (Naval)","Development - Missile (Air)"})/1000000000)</f>
        <v>0</v>
      </c>
      <c r="AA36" s="61">
        <f>(SUMIFS('MAIN DATA, Orders'!$M:$M,'MAIN DATA, Orders'!$Q:$Q,$A36,'MAIN DATA, Orders'!$C:$C,"Germany",'MAIN DATA, Orders'!$G:$G,"Modernisation")/1000000000)</f>
        <v>0.10100000000000001</v>
      </c>
      <c r="AB36" s="61">
        <f>(SUMIFS('MAIN DATA, Orders'!$M:$M,'MAIN DATA, Orders'!$Q:$Q,$A36,'MAIN DATA, Orders'!$C:$C,"Germany",'MAIN DATA, Orders'!$G:$G,"Development - Modernisation")/1000000000)</f>
        <v>0</v>
      </c>
      <c r="AC36" s="61">
        <f>(SUMIFS('MAIN DATA, Orders'!$M:$M,'MAIN DATA, Orders'!$Q:$Q,$A36,'MAIN DATA, Orders'!$C:$C,"Germany",'MAIN DATA, Orders'!$G:$G,"Naval")/1000000000)</f>
        <v>3.5000000000000003E-2</v>
      </c>
      <c r="AD36" s="61">
        <f>(SUMIFS('MAIN DATA, Orders'!$M:$M,'MAIN DATA, Orders'!$Q:$Q,$A36,'MAIN DATA, Orders'!$C:$C,"Germany",'MAIN DATA, Orders'!$G:$G,"Development - Naval")/1000000000)</f>
        <v>0</v>
      </c>
      <c r="AE36" s="61">
        <f>(SUMIFS('MAIN DATA, Orders'!$M:$M,'MAIN DATA, Orders'!$Q:$Q,$A36,'MAIN DATA, Orders'!$C:$C,"Germany",'MAIN DATA, Orders'!$G:$G,"Other")/1000000000)</f>
        <v>0</v>
      </c>
      <c r="AF36" s="61">
        <f>(SUMIFS('MAIN DATA, Orders'!$M:$M,'MAIN DATA, Orders'!$Q:$Q,$A36,'MAIN DATA, Orders'!$C:$C,"Germany",'MAIN DATA, Orders'!$G:$G,"Development - Other")/1000000000)</f>
        <v>0</v>
      </c>
      <c r="AG36" s="61"/>
      <c r="AH36" s="61" cm="1">
        <f t="array" ref="AH36">SUM(SUMIFS('MAIN DATA, Orders'!$M:$M,'MAIN DATA, Orders'!$Q:$Q,$A36,'MAIN DATA, Orders'!$C:$C,"Germany",'MAIN DATA, Orders'!$G:$G,{"Missile (Land)","Development - Missile (Land)"})/1000000000)</f>
        <v>0</v>
      </c>
      <c r="AI36" s="61" cm="1">
        <f t="array" ref="AI36">SUM(SUMIFS('MAIN DATA, Orders'!$M:$M,'MAIN DATA, Orders'!$C:$C,"Germany",'MAIN DATA, Orders'!$G:$G,{"Missile (Air)","Development - Missile (Air)"},'MAIN DATA, Orders'!$Q:$Q,$A36)/1000000000)</f>
        <v>0</v>
      </c>
      <c r="AJ36" s="61" cm="1">
        <f t="array" ref="AJ36">SUM(SUMIFS('MAIN DATA, Orders'!$M:$M,'MAIN DATA, Orders'!$Q:$Q,$A36,'MAIN DATA, Orders'!$C:$C,"Germany",'MAIN DATA, Orders'!$G:$G,{"Missile (Naval)","Development - Missile (Naval)"})/1000000000)</f>
        <v>0</v>
      </c>
    </row>
    <row r="37" spans="1:36">
      <c r="A37" s="72">
        <v>31</v>
      </c>
      <c r="B37" s="68">
        <v>44743</v>
      </c>
      <c r="C37" s="61">
        <f>(SUMIFS('MAIN DATA, Orders'!$M:$M,'MAIN DATA, Orders'!$Q:$Q,$A37,'MAIN DATA, Orders'!$C:$C,"Germany",'MAIN DATA, Orders'!$G:$G,"Air defence system")/1000000000)</f>
        <v>0</v>
      </c>
      <c r="D37" s="61">
        <f>(SUMIFS('MAIN DATA, Orders'!$M:$M,'MAIN DATA, Orders'!$Q:$Q,$A37,'MAIN DATA, Orders'!$C:$C,"Germany",'MAIN DATA, Orders'!$G:$G,"Development - Air defence system")/1000000000)</f>
        <v>0</v>
      </c>
      <c r="E37" s="61">
        <f>(SUMIFS('MAIN DATA, Orders'!$M:$M,'MAIN DATA, Orders'!$Q:$Q,$A37,'MAIN DATA, Orders'!$C:$C,"Germany",'MAIN DATA, Orders'!$G:$G,"Aircraft")/1000000000)</f>
        <v>0</v>
      </c>
      <c r="F37" s="61">
        <f>(SUMIFS('MAIN DATA, Orders'!$M:$M,'MAIN DATA, Orders'!$Q:$Q,$A37,'MAIN DATA, Orders'!$C:$C,"Germany",'MAIN DATA, Orders'!$G:$G,"Development - Aircraft")/1000000000)</f>
        <v>0.24199999999999999</v>
      </c>
      <c r="G37" s="61">
        <f>(SUMIFS('MAIN DATA, Orders'!$M:$M,'MAIN DATA, Orders'!$Q:$Q,$A37,'MAIN DATA, Orders'!$C:$C,"Germany",'MAIN DATA, Orders'!$G:$G,"Ammunition")/1000000000)</f>
        <v>4.2099999999999999E-2</v>
      </c>
      <c r="H37" s="61">
        <f>(SUMIFS('MAIN DATA, Orders'!$M:$M,'MAIN DATA, Orders'!$Q:$Q,$A37,'MAIN DATA, Orders'!$C:$C,"Germany",'MAIN DATA, Orders'!$G:$G,"Development - Ammunition")/1000000000)</f>
        <v>0</v>
      </c>
      <c r="I37" s="61">
        <f>(SUMIFS('MAIN DATA, Orders'!$M:$M,'MAIN DATA, Orders'!$Q:$Q,$A37,'MAIN DATA, Orders'!$C:$C,"Germany",'MAIN DATA, Orders'!$G:$G,"Armoured vehicle")/1000000000)</f>
        <v>0</v>
      </c>
      <c r="J37" s="61">
        <f>(SUMIFS('MAIN DATA, Orders'!$M:$M,'MAIN DATA, Orders'!$Q:$Q,$A37,'MAIN DATA, Orders'!$C:$C,"Germany",'MAIN DATA, Orders'!$G:$G,"Development - Armoured vehicle")/1000000000)</f>
        <v>0</v>
      </c>
      <c r="K37" s="61">
        <f>(SUMIFS('MAIN DATA, Orders'!$M:$M,'MAIN DATA, Orders'!$Q:$Q,$A37,'MAIN DATA, Orders'!$C:$C,"Germany",'MAIN DATA, Orders'!$G:$G,"Artillery")/1000000000)</f>
        <v>0</v>
      </c>
      <c r="L37" s="61">
        <f>(SUMIFS('MAIN DATA, Orders'!$M:$M,'MAIN DATA, Orders'!$Q:$Q,$A37,'MAIN DATA, Orders'!$C:$C,"Germany",'MAIN DATA, Orders'!$G:$G,"Development - Artillery")/1000000000)</f>
        <v>0</v>
      </c>
      <c r="M37" s="61">
        <f>(SUMIFS('MAIN DATA, Orders'!$M:$M,'MAIN DATA, Orders'!$Q:$Q,$A37,'MAIN DATA, Orders'!$C:$C,"Germany",'MAIN DATA, Orders'!$G:$G,"Drone")/1000000000)</f>
        <v>0</v>
      </c>
      <c r="N37" s="61">
        <f>(SUMIFS('MAIN DATA, Orders'!$M:$M,'MAIN DATA, Orders'!$Q:$Q,$A37,'MAIN DATA, Orders'!$C:$C,"Germany",'MAIN DATA, Orders'!$G:$G,"Development - Drone")/1000000000)</f>
        <v>0</v>
      </c>
      <c r="O37" s="61">
        <f>(SUMIFS('MAIN DATA, Orders'!$M:$M,'MAIN DATA, Orders'!$Q:$Q,$A37,'MAIN DATA, Orders'!$C:$C,"Germany",'MAIN DATA, Orders'!$G:$G,"Helicopter")/1000000000)</f>
        <v>0</v>
      </c>
      <c r="P37" s="61">
        <f>(SUMIFS('MAIN DATA, Orders'!$M:$M,'MAIN DATA, Orders'!$Q:$Q,$A37,'MAIN DATA, Orders'!$C:$C,"Germany",'MAIN DATA, Orders'!$G:$G,"Development - Helicopter")/1000000000)</f>
        <v>0</v>
      </c>
      <c r="Q37" s="61">
        <f>(SUMIFS('MAIN DATA, Orders'!$M:$M,'MAIN DATA, Orders'!$Q:$Q,$A37,'MAIN DATA, Orders'!$C:$C,"Germany",'MAIN DATA, Orders'!$G:$G,"Infantry")/1000000000)</f>
        <v>0</v>
      </c>
      <c r="R37" s="61">
        <f>(SUMIFS('MAIN DATA, Orders'!$M:$M,'MAIN DATA, Orders'!$Q:$Q,$A37,'MAIN DATA, Orders'!$C:$C,"Germany",'MAIN DATA, Orders'!$G:$G,"Development - Infantry")/1000000000)</f>
        <v>0</v>
      </c>
      <c r="S37" s="61">
        <f>(SUMIFS('MAIN DATA, Orders'!$M:$M,'MAIN DATA, Orders'!$Q:$Q,$A37,'MAIN DATA, Orders'!$C:$C,"Germany",'MAIN DATA, Orders'!$G:$G,"Tank")/1000000000)</f>
        <v>0</v>
      </c>
      <c r="T37" s="61">
        <f>(SUMIFS('MAIN DATA, Orders'!$M:$M,'MAIN DATA, Orders'!$Q:$Q,$A37,'MAIN DATA, Orders'!$C:$C,"Germany",'MAIN DATA, Orders'!$G:$G,"Development - Tank")/1000000000)</f>
        <v>0</v>
      </c>
      <c r="U37" s="61">
        <f>(SUMIFS('MAIN DATA, Orders'!$M:$M,'MAIN DATA, Orders'!$Q:$Q,$A37,'MAIN DATA, Orders'!$C:$C,"Germany",'MAIN DATA, Orders'!$G:$G,"Maintenance")/1000000000)</f>
        <v>0</v>
      </c>
      <c r="V37" s="61">
        <f>(SUMIFS('MAIN DATA, Orders'!$M:$M,'MAIN DATA, Orders'!$Q:$Q,$A37,'MAIN DATA, Orders'!$C:$C,"Germany",'MAIN DATA, Orders'!$G:$G,"Development - Maintenance")/1000000000)</f>
        <v>0</v>
      </c>
      <c r="W37" s="61">
        <f>(SUMIFS('MAIN DATA, Orders'!$M:$M,'MAIN DATA, Orders'!$Q:$Q,$A37,'MAIN DATA, Orders'!$C:$C,"Germany",'MAIN DATA, Orders'!$G:$G,"Mine")/1000000000)</f>
        <v>0</v>
      </c>
      <c r="X37" s="61">
        <f>(SUMIFS('MAIN DATA, Orders'!$M:$M,'MAIN DATA, Orders'!$Q:$Q,$A37,'MAIN DATA, Orders'!$C:$C,"Germany",'MAIN DATA, Orders'!$G:$G,"Development - Mine")/1000000000)</f>
        <v>0</v>
      </c>
      <c r="Y37" s="61">
        <f>(SUMIFS('MAIN DATA, Orders'!$M:$M,'MAIN DATA, Orders'!$Q:$Q,$A37,'MAIN DATA, Orders'!$C:$C,"Germany",'MAIN DATA, Orders'!$H:$H,"6")/1000000000)</f>
        <v>0</v>
      </c>
      <c r="Z37" s="61" cm="1">
        <f t="array" ref="Z37">SUM(SUMIFS('MAIN DATA, Orders'!$M:$M,'MAIN DATA, Orders'!$Q:$Q,$A37,'MAIN DATA, Orders'!$C:$C,"Germany",'MAIN DATA, Orders'!$G:$G,{"Development - Missile (Land)","Development - Missile (Naval)","Development - Missile (Air)"})/1000000000)</f>
        <v>0</v>
      </c>
      <c r="AA37" s="61">
        <f>(SUMIFS('MAIN DATA, Orders'!$M:$M,'MAIN DATA, Orders'!$Q:$Q,$A37,'MAIN DATA, Orders'!$C:$C,"Germany",'MAIN DATA, Orders'!$G:$G,"Modernisation")/1000000000)</f>
        <v>6.89</v>
      </c>
      <c r="AB37" s="61">
        <f>(SUMIFS('MAIN DATA, Orders'!$M:$M,'MAIN DATA, Orders'!$Q:$Q,$A37,'MAIN DATA, Orders'!$C:$C,"Germany",'MAIN DATA, Orders'!$G:$G,"Development - Modernisation")/1000000000)</f>
        <v>0</v>
      </c>
      <c r="AC37" s="61">
        <f>(SUMIFS('MAIN DATA, Orders'!$M:$M,'MAIN DATA, Orders'!$Q:$Q,$A37,'MAIN DATA, Orders'!$C:$C,"Germany",'MAIN DATA, Orders'!$G:$G,"Naval")/1000000000)</f>
        <v>0.34179999999999999</v>
      </c>
      <c r="AD37" s="61">
        <f>(SUMIFS('MAIN DATA, Orders'!$M:$M,'MAIN DATA, Orders'!$Q:$Q,$A37,'MAIN DATA, Orders'!$C:$C,"Germany",'MAIN DATA, Orders'!$G:$G,"Development - Naval")/1000000000)</f>
        <v>0</v>
      </c>
      <c r="AE37" s="61">
        <f>(SUMIFS('MAIN DATA, Orders'!$M:$M,'MAIN DATA, Orders'!$Q:$Q,$A37,'MAIN DATA, Orders'!$C:$C,"Germany",'MAIN DATA, Orders'!$G:$G,"Other")/1000000000)</f>
        <v>0</v>
      </c>
      <c r="AF37" s="61">
        <f>(SUMIFS('MAIN DATA, Orders'!$M:$M,'MAIN DATA, Orders'!$Q:$Q,$A37,'MAIN DATA, Orders'!$C:$C,"Germany",'MAIN DATA, Orders'!$G:$G,"Development - Other")/1000000000)</f>
        <v>0</v>
      </c>
      <c r="AG37" s="61"/>
      <c r="AH37" s="61" cm="1">
        <f t="array" ref="AH37">SUM(SUMIFS('MAIN DATA, Orders'!$M:$M,'MAIN DATA, Orders'!$Q:$Q,$A37,'MAIN DATA, Orders'!$C:$C,"Germany",'MAIN DATA, Orders'!$G:$G,{"Missile (Land)","Development - Missile (Land)"})/1000000000)</f>
        <v>0</v>
      </c>
      <c r="AI37" s="61" cm="1">
        <f t="array" ref="AI37">SUM(SUMIFS('MAIN DATA, Orders'!$M:$M,'MAIN DATA, Orders'!$C:$C,"Germany",'MAIN DATA, Orders'!$G:$G,{"Missile (Air)","Development - Missile (Air)"},'MAIN DATA, Orders'!$Q:$Q,$A37)/1000000000)</f>
        <v>0</v>
      </c>
      <c r="AJ37" s="61" cm="1">
        <f t="array" ref="AJ37">SUM(SUMIFS('MAIN DATA, Orders'!$M:$M,'MAIN DATA, Orders'!$Q:$Q,$A37,'MAIN DATA, Orders'!$C:$C,"Germany",'MAIN DATA, Orders'!$G:$G,{"Missile (Naval)","Development - Missile (Naval)"})/1000000000)</f>
        <v>0</v>
      </c>
    </row>
    <row r="38" spans="1:36">
      <c r="A38" s="72">
        <v>32</v>
      </c>
      <c r="B38" s="68">
        <v>44774</v>
      </c>
      <c r="C38" s="61">
        <f>(SUMIFS('MAIN DATA, Orders'!$M:$M,'MAIN DATA, Orders'!$Q:$Q,$A38,'MAIN DATA, Orders'!$C:$C,"Germany",'MAIN DATA, Orders'!$G:$G,"Air defence system")/1000000000)</f>
        <v>0</v>
      </c>
      <c r="D38" s="61">
        <f>(SUMIFS('MAIN DATA, Orders'!$M:$M,'MAIN DATA, Orders'!$Q:$Q,$A38,'MAIN DATA, Orders'!$C:$C,"Germany",'MAIN DATA, Orders'!$G:$G,"Development - Air defence system")/1000000000)</f>
        <v>0</v>
      </c>
      <c r="E38" s="61">
        <f>(SUMIFS('MAIN DATA, Orders'!$M:$M,'MAIN DATA, Orders'!$Q:$Q,$A38,'MAIN DATA, Orders'!$C:$C,"Germany",'MAIN DATA, Orders'!$G:$G,"Aircraft")/1000000000)</f>
        <v>0</v>
      </c>
      <c r="F38" s="61">
        <f>(SUMIFS('MAIN DATA, Orders'!$M:$M,'MAIN DATA, Orders'!$Q:$Q,$A38,'MAIN DATA, Orders'!$C:$C,"Germany",'MAIN DATA, Orders'!$G:$G,"Development - Aircraft")/1000000000)</f>
        <v>0</v>
      </c>
      <c r="G38" s="61">
        <f>(SUMIFS('MAIN DATA, Orders'!$M:$M,'MAIN DATA, Orders'!$Q:$Q,$A38,'MAIN DATA, Orders'!$C:$C,"Germany",'MAIN DATA, Orders'!$G:$G,"Ammunition")/1000000000)</f>
        <v>0</v>
      </c>
      <c r="H38" s="61">
        <f>(SUMIFS('MAIN DATA, Orders'!$M:$M,'MAIN DATA, Orders'!$Q:$Q,$A38,'MAIN DATA, Orders'!$C:$C,"Germany",'MAIN DATA, Orders'!$G:$G,"Development - Ammunition")/1000000000)</f>
        <v>0</v>
      </c>
      <c r="I38" s="61">
        <f>(SUMIFS('MAIN DATA, Orders'!$M:$M,'MAIN DATA, Orders'!$Q:$Q,$A38,'MAIN DATA, Orders'!$C:$C,"Germany",'MAIN DATA, Orders'!$G:$G,"Armoured vehicle")/1000000000)</f>
        <v>0</v>
      </c>
      <c r="J38" s="61">
        <f>(SUMIFS('MAIN DATA, Orders'!$M:$M,'MAIN DATA, Orders'!$Q:$Q,$A38,'MAIN DATA, Orders'!$C:$C,"Germany",'MAIN DATA, Orders'!$G:$G,"Development - Armoured vehicle")/1000000000)</f>
        <v>0</v>
      </c>
      <c r="K38" s="61">
        <f>(SUMIFS('MAIN DATA, Orders'!$M:$M,'MAIN DATA, Orders'!$Q:$Q,$A38,'MAIN DATA, Orders'!$C:$C,"Germany",'MAIN DATA, Orders'!$G:$G,"Artillery")/1000000000)</f>
        <v>0</v>
      </c>
      <c r="L38" s="61">
        <f>(SUMIFS('MAIN DATA, Orders'!$M:$M,'MAIN DATA, Orders'!$Q:$Q,$A38,'MAIN DATA, Orders'!$C:$C,"Germany",'MAIN DATA, Orders'!$G:$G,"Development - Artillery")/1000000000)</f>
        <v>0</v>
      </c>
      <c r="M38" s="61">
        <f>(SUMIFS('MAIN DATA, Orders'!$M:$M,'MAIN DATA, Orders'!$Q:$Q,$A38,'MAIN DATA, Orders'!$C:$C,"Germany",'MAIN DATA, Orders'!$G:$G,"Drone")/1000000000)</f>
        <v>0</v>
      </c>
      <c r="N38" s="61">
        <f>(SUMIFS('MAIN DATA, Orders'!$M:$M,'MAIN DATA, Orders'!$Q:$Q,$A38,'MAIN DATA, Orders'!$C:$C,"Germany",'MAIN DATA, Orders'!$G:$G,"Development - Drone")/1000000000)</f>
        <v>0</v>
      </c>
      <c r="O38" s="61">
        <f>(SUMIFS('MAIN DATA, Orders'!$M:$M,'MAIN DATA, Orders'!$Q:$Q,$A38,'MAIN DATA, Orders'!$C:$C,"Germany",'MAIN DATA, Orders'!$G:$G,"Helicopter")/1000000000)</f>
        <v>0</v>
      </c>
      <c r="P38" s="61">
        <f>(SUMIFS('MAIN DATA, Orders'!$M:$M,'MAIN DATA, Orders'!$Q:$Q,$A38,'MAIN DATA, Orders'!$C:$C,"Germany",'MAIN DATA, Orders'!$G:$G,"Development - Helicopter")/1000000000)</f>
        <v>0</v>
      </c>
      <c r="Q38" s="61">
        <f>(SUMIFS('MAIN DATA, Orders'!$M:$M,'MAIN DATA, Orders'!$Q:$Q,$A38,'MAIN DATA, Orders'!$C:$C,"Germany",'MAIN DATA, Orders'!$G:$G,"Infantry")/1000000000)</f>
        <v>0</v>
      </c>
      <c r="R38" s="61">
        <f>(SUMIFS('MAIN DATA, Orders'!$M:$M,'MAIN DATA, Orders'!$Q:$Q,$A38,'MAIN DATA, Orders'!$C:$C,"Germany",'MAIN DATA, Orders'!$G:$G,"Development - Infantry")/1000000000)</f>
        <v>0</v>
      </c>
      <c r="S38" s="61">
        <f>(SUMIFS('MAIN DATA, Orders'!$M:$M,'MAIN DATA, Orders'!$Q:$Q,$A38,'MAIN DATA, Orders'!$C:$C,"Germany",'MAIN DATA, Orders'!$G:$G,"Tank")/1000000000)</f>
        <v>0</v>
      </c>
      <c r="T38" s="61">
        <f>(SUMIFS('MAIN DATA, Orders'!$M:$M,'MAIN DATA, Orders'!$Q:$Q,$A38,'MAIN DATA, Orders'!$C:$C,"Germany",'MAIN DATA, Orders'!$G:$G,"Development - Tank")/1000000000)</f>
        <v>0</v>
      </c>
      <c r="U38" s="61">
        <f>(SUMIFS('MAIN DATA, Orders'!$M:$M,'MAIN DATA, Orders'!$Q:$Q,$A38,'MAIN DATA, Orders'!$C:$C,"Germany",'MAIN DATA, Orders'!$G:$G,"Maintenance")/1000000000)</f>
        <v>0</v>
      </c>
      <c r="V38" s="61">
        <f>(SUMIFS('MAIN DATA, Orders'!$M:$M,'MAIN DATA, Orders'!$Q:$Q,$A38,'MAIN DATA, Orders'!$C:$C,"Germany",'MAIN DATA, Orders'!$G:$G,"Development - Maintenance")/1000000000)</f>
        <v>0</v>
      </c>
      <c r="W38" s="61">
        <f>(SUMIFS('MAIN DATA, Orders'!$M:$M,'MAIN DATA, Orders'!$Q:$Q,$A38,'MAIN DATA, Orders'!$C:$C,"Germany",'MAIN DATA, Orders'!$G:$G,"Mine")/1000000000)</f>
        <v>0</v>
      </c>
      <c r="X38" s="61">
        <f>(SUMIFS('MAIN DATA, Orders'!$M:$M,'MAIN DATA, Orders'!$Q:$Q,$A38,'MAIN DATA, Orders'!$C:$C,"Germany",'MAIN DATA, Orders'!$G:$G,"Development - Mine")/1000000000)</f>
        <v>0</v>
      </c>
      <c r="Y38" s="61">
        <f>(SUMIFS('MAIN DATA, Orders'!$M:$M,'MAIN DATA, Orders'!$Q:$Q,$A38,'MAIN DATA, Orders'!$C:$C,"Germany",'MAIN DATA, Orders'!$H:$H,"6")/1000000000)</f>
        <v>0</v>
      </c>
      <c r="Z38" s="61" cm="1">
        <f t="array" ref="Z38">SUM(SUMIFS('MAIN DATA, Orders'!$M:$M,'MAIN DATA, Orders'!$Q:$Q,$A38,'MAIN DATA, Orders'!$C:$C,"Germany",'MAIN DATA, Orders'!$G:$G,{"Development - Missile (Land)","Development - Missile (Naval)","Development - Missile (Air)"})/1000000000)</f>
        <v>0</v>
      </c>
      <c r="AA38" s="61">
        <f>(SUMIFS('MAIN DATA, Orders'!$M:$M,'MAIN DATA, Orders'!$Q:$Q,$A38,'MAIN DATA, Orders'!$C:$C,"Germany",'MAIN DATA, Orders'!$G:$G,"Modernisation")/1000000000)</f>
        <v>0</v>
      </c>
      <c r="AB38" s="61">
        <f>(SUMIFS('MAIN DATA, Orders'!$M:$M,'MAIN DATA, Orders'!$Q:$Q,$A38,'MAIN DATA, Orders'!$C:$C,"Germany",'MAIN DATA, Orders'!$G:$G,"Development - Modernisation")/1000000000)</f>
        <v>0</v>
      </c>
      <c r="AC38" s="61">
        <f>(SUMIFS('MAIN DATA, Orders'!$M:$M,'MAIN DATA, Orders'!$Q:$Q,$A38,'MAIN DATA, Orders'!$C:$C,"Germany",'MAIN DATA, Orders'!$G:$G,"Naval")/1000000000)</f>
        <v>0</v>
      </c>
      <c r="AD38" s="61">
        <f>(SUMIFS('MAIN DATA, Orders'!$M:$M,'MAIN DATA, Orders'!$Q:$Q,$A38,'MAIN DATA, Orders'!$C:$C,"Germany",'MAIN DATA, Orders'!$G:$G,"Development - Naval")/1000000000)</f>
        <v>0</v>
      </c>
      <c r="AE38" s="61">
        <f>(SUMIFS('MAIN DATA, Orders'!$M:$M,'MAIN DATA, Orders'!$Q:$Q,$A38,'MAIN DATA, Orders'!$C:$C,"Germany",'MAIN DATA, Orders'!$G:$G,"Other")/1000000000)</f>
        <v>0</v>
      </c>
      <c r="AF38" s="61">
        <f>(SUMIFS('MAIN DATA, Orders'!$M:$M,'MAIN DATA, Orders'!$Q:$Q,$A38,'MAIN DATA, Orders'!$C:$C,"Germany",'MAIN DATA, Orders'!$G:$G,"Development - Other")/1000000000)</f>
        <v>0</v>
      </c>
      <c r="AG38" s="61"/>
      <c r="AH38" s="61" cm="1">
        <f t="array" ref="AH38">SUM(SUMIFS('MAIN DATA, Orders'!$M:$M,'MAIN DATA, Orders'!$Q:$Q,$A38,'MAIN DATA, Orders'!$C:$C,"Germany",'MAIN DATA, Orders'!$G:$G,{"Missile (Land)","Development - Missile (Land)"})/1000000000)</f>
        <v>0</v>
      </c>
      <c r="AI38" s="61" cm="1">
        <f t="array" ref="AI38">SUM(SUMIFS('MAIN DATA, Orders'!$M:$M,'MAIN DATA, Orders'!$C:$C,"Germany",'MAIN DATA, Orders'!$G:$G,{"Missile (Air)","Development - Missile (Air)"},'MAIN DATA, Orders'!$Q:$Q,$A38)/1000000000)</f>
        <v>0</v>
      </c>
      <c r="AJ38" s="61" cm="1">
        <f t="array" ref="AJ38">SUM(SUMIFS('MAIN DATA, Orders'!$M:$M,'MAIN DATA, Orders'!$Q:$Q,$A38,'MAIN DATA, Orders'!$C:$C,"Germany",'MAIN DATA, Orders'!$G:$G,{"Missile (Naval)","Development - Missile (Naval)"})/1000000000)</f>
        <v>0</v>
      </c>
    </row>
    <row r="39" spans="1:36">
      <c r="A39" s="72">
        <v>33</v>
      </c>
      <c r="B39" s="68">
        <v>44805</v>
      </c>
      <c r="C39" s="61">
        <f>(SUMIFS('MAIN DATA, Orders'!$M:$M,'MAIN DATA, Orders'!$Q:$Q,$A39,'MAIN DATA, Orders'!$C:$C,"Germany",'MAIN DATA, Orders'!$G:$G,"Air defence system")/1000000000)</f>
        <v>0</v>
      </c>
      <c r="D39" s="61">
        <f>(SUMIFS('MAIN DATA, Orders'!$M:$M,'MAIN DATA, Orders'!$Q:$Q,$A39,'MAIN DATA, Orders'!$C:$C,"Germany",'MAIN DATA, Orders'!$G:$G,"Development - Air defence system")/1000000000)</f>
        <v>0</v>
      </c>
      <c r="E39" s="61">
        <f>(SUMIFS('MAIN DATA, Orders'!$M:$M,'MAIN DATA, Orders'!$Q:$Q,$A39,'MAIN DATA, Orders'!$C:$C,"Germany",'MAIN DATA, Orders'!$G:$G,"Aircraft")/1000000000)</f>
        <v>0</v>
      </c>
      <c r="F39" s="61">
        <f>(SUMIFS('MAIN DATA, Orders'!$M:$M,'MAIN DATA, Orders'!$Q:$Q,$A39,'MAIN DATA, Orders'!$C:$C,"Germany",'MAIN DATA, Orders'!$G:$G,"Development - Aircraft")/1000000000)</f>
        <v>0</v>
      </c>
      <c r="G39" s="61">
        <f>(SUMIFS('MAIN DATA, Orders'!$M:$M,'MAIN DATA, Orders'!$Q:$Q,$A39,'MAIN DATA, Orders'!$C:$C,"Germany",'MAIN DATA, Orders'!$G:$G,"Ammunition")/1000000000)</f>
        <v>0</v>
      </c>
      <c r="H39" s="61">
        <f>(SUMIFS('MAIN DATA, Orders'!$M:$M,'MAIN DATA, Orders'!$Q:$Q,$A39,'MAIN DATA, Orders'!$C:$C,"Germany",'MAIN DATA, Orders'!$G:$G,"Development - Ammunition")/1000000000)</f>
        <v>0</v>
      </c>
      <c r="I39" s="61">
        <f>(SUMIFS('MAIN DATA, Orders'!$M:$M,'MAIN DATA, Orders'!$Q:$Q,$A39,'MAIN DATA, Orders'!$C:$C,"Germany",'MAIN DATA, Orders'!$G:$G,"Armoured vehicle")/1000000000)</f>
        <v>0</v>
      </c>
      <c r="J39" s="61">
        <f>(SUMIFS('MAIN DATA, Orders'!$M:$M,'MAIN DATA, Orders'!$Q:$Q,$A39,'MAIN DATA, Orders'!$C:$C,"Germany",'MAIN DATA, Orders'!$G:$G,"Development - Armoured vehicle")/1000000000)</f>
        <v>0</v>
      </c>
      <c r="K39" s="61">
        <f>(SUMIFS('MAIN DATA, Orders'!$M:$M,'MAIN DATA, Orders'!$Q:$Q,$A39,'MAIN DATA, Orders'!$C:$C,"Germany",'MAIN DATA, Orders'!$G:$G,"Artillery")/1000000000)</f>
        <v>0</v>
      </c>
      <c r="L39" s="61">
        <f>(SUMIFS('MAIN DATA, Orders'!$M:$M,'MAIN DATA, Orders'!$Q:$Q,$A39,'MAIN DATA, Orders'!$C:$C,"Germany",'MAIN DATA, Orders'!$G:$G,"Development - Artillery")/1000000000)</f>
        <v>0</v>
      </c>
      <c r="M39" s="61">
        <f>(SUMIFS('MAIN DATA, Orders'!$M:$M,'MAIN DATA, Orders'!$Q:$Q,$A39,'MAIN DATA, Orders'!$C:$C,"Germany",'MAIN DATA, Orders'!$G:$G,"Drone")/1000000000)</f>
        <v>0</v>
      </c>
      <c r="N39" s="61">
        <f>(SUMIFS('MAIN DATA, Orders'!$M:$M,'MAIN DATA, Orders'!$Q:$Q,$A39,'MAIN DATA, Orders'!$C:$C,"Germany",'MAIN DATA, Orders'!$G:$G,"Development - Drone")/1000000000)</f>
        <v>0</v>
      </c>
      <c r="O39" s="61">
        <f>(SUMIFS('MAIN DATA, Orders'!$M:$M,'MAIN DATA, Orders'!$Q:$Q,$A39,'MAIN DATA, Orders'!$C:$C,"Germany",'MAIN DATA, Orders'!$G:$G,"Helicopter")/1000000000)</f>
        <v>0</v>
      </c>
      <c r="P39" s="61">
        <f>(SUMIFS('MAIN DATA, Orders'!$M:$M,'MAIN DATA, Orders'!$Q:$Q,$A39,'MAIN DATA, Orders'!$C:$C,"Germany",'MAIN DATA, Orders'!$G:$G,"Development - Helicopter")/1000000000)</f>
        <v>0</v>
      </c>
      <c r="Q39" s="61">
        <f>(SUMIFS('MAIN DATA, Orders'!$M:$M,'MAIN DATA, Orders'!$Q:$Q,$A39,'MAIN DATA, Orders'!$C:$C,"Germany",'MAIN DATA, Orders'!$G:$G,"Infantry")/1000000000)</f>
        <v>0</v>
      </c>
      <c r="R39" s="61">
        <f>(SUMIFS('MAIN DATA, Orders'!$M:$M,'MAIN DATA, Orders'!$Q:$Q,$A39,'MAIN DATA, Orders'!$C:$C,"Germany",'MAIN DATA, Orders'!$G:$G,"Development - Infantry")/1000000000)</f>
        <v>0</v>
      </c>
      <c r="S39" s="61">
        <f>(SUMIFS('MAIN DATA, Orders'!$M:$M,'MAIN DATA, Orders'!$Q:$Q,$A39,'MAIN DATA, Orders'!$C:$C,"Germany",'MAIN DATA, Orders'!$G:$G,"Tank")/1000000000)</f>
        <v>0</v>
      </c>
      <c r="T39" s="61">
        <f>(SUMIFS('MAIN DATA, Orders'!$M:$M,'MAIN DATA, Orders'!$Q:$Q,$A39,'MAIN DATA, Orders'!$C:$C,"Germany",'MAIN DATA, Orders'!$G:$G,"Development - Tank")/1000000000)</f>
        <v>0</v>
      </c>
      <c r="U39" s="61">
        <f>(SUMIFS('MAIN DATA, Orders'!$M:$M,'MAIN DATA, Orders'!$Q:$Q,$A39,'MAIN DATA, Orders'!$C:$C,"Germany",'MAIN DATA, Orders'!$G:$G,"Maintenance")/1000000000)</f>
        <v>0</v>
      </c>
      <c r="V39" s="61">
        <f>(SUMIFS('MAIN DATA, Orders'!$M:$M,'MAIN DATA, Orders'!$Q:$Q,$A39,'MAIN DATA, Orders'!$C:$C,"Germany",'MAIN DATA, Orders'!$G:$G,"Development - Maintenance")/1000000000)</f>
        <v>0</v>
      </c>
      <c r="W39" s="61">
        <f>(SUMIFS('MAIN DATA, Orders'!$M:$M,'MAIN DATA, Orders'!$Q:$Q,$A39,'MAIN DATA, Orders'!$C:$C,"Germany",'MAIN DATA, Orders'!$G:$G,"Mine")/1000000000)</f>
        <v>0</v>
      </c>
      <c r="X39" s="61">
        <f>(SUMIFS('MAIN DATA, Orders'!$M:$M,'MAIN DATA, Orders'!$Q:$Q,$A39,'MAIN DATA, Orders'!$C:$C,"Germany",'MAIN DATA, Orders'!$G:$G,"Development - Mine")/1000000000)</f>
        <v>0</v>
      </c>
      <c r="Y39" s="61">
        <f>(SUMIFS('MAIN DATA, Orders'!$M:$M,'MAIN DATA, Orders'!$Q:$Q,$A39,'MAIN DATA, Orders'!$C:$C,"Germany",'MAIN DATA, Orders'!$H:$H,"6")/1000000000)</f>
        <v>0.63700000000000001</v>
      </c>
      <c r="Z39" s="61" cm="1">
        <f t="array" ref="Z39">SUM(SUMIFS('MAIN DATA, Orders'!$M:$M,'MAIN DATA, Orders'!$Q:$Q,$A39,'MAIN DATA, Orders'!$C:$C,"Germany",'MAIN DATA, Orders'!$G:$G,{"Development - Missile (Land)","Development - Missile (Naval)","Development - Missile (Air)"})/1000000000)</f>
        <v>0</v>
      </c>
      <c r="AA39" s="61">
        <f>(SUMIFS('MAIN DATA, Orders'!$M:$M,'MAIN DATA, Orders'!$Q:$Q,$A39,'MAIN DATA, Orders'!$C:$C,"Germany",'MAIN DATA, Orders'!$G:$G,"Modernisation")/1000000000)</f>
        <v>0</v>
      </c>
      <c r="AB39" s="61">
        <f>(SUMIFS('MAIN DATA, Orders'!$M:$M,'MAIN DATA, Orders'!$Q:$Q,$A39,'MAIN DATA, Orders'!$C:$C,"Germany",'MAIN DATA, Orders'!$G:$G,"Development - Modernisation")/1000000000)</f>
        <v>0</v>
      </c>
      <c r="AC39" s="61">
        <f>(SUMIFS('MAIN DATA, Orders'!$M:$M,'MAIN DATA, Orders'!$Q:$Q,$A39,'MAIN DATA, Orders'!$C:$C,"Germany",'MAIN DATA, Orders'!$G:$G,"Naval")/1000000000)</f>
        <v>0</v>
      </c>
      <c r="AD39" s="61">
        <f>(SUMIFS('MAIN DATA, Orders'!$M:$M,'MAIN DATA, Orders'!$Q:$Q,$A39,'MAIN DATA, Orders'!$C:$C,"Germany",'MAIN DATA, Orders'!$G:$G,"Development - Naval")/1000000000)</f>
        <v>0</v>
      </c>
      <c r="AE39" s="61">
        <f>(SUMIFS('MAIN DATA, Orders'!$M:$M,'MAIN DATA, Orders'!$Q:$Q,$A39,'MAIN DATA, Orders'!$C:$C,"Germany",'MAIN DATA, Orders'!$G:$G,"Other")/1000000000)</f>
        <v>0</v>
      </c>
      <c r="AF39" s="61">
        <f>(SUMIFS('MAIN DATA, Orders'!$M:$M,'MAIN DATA, Orders'!$Q:$Q,$A39,'MAIN DATA, Orders'!$C:$C,"Germany",'MAIN DATA, Orders'!$G:$G,"Development - Other")/1000000000)</f>
        <v>0</v>
      </c>
      <c r="AG39" s="61"/>
      <c r="AH39" s="61" cm="1">
        <f t="array" ref="AH39">SUM(SUMIFS('MAIN DATA, Orders'!$M:$M,'MAIN DATA, Orders'!$Q:$Q,$A39,'MAIN DATA, Orders'!$C:$C,"Germany",'MAIN DATA, Orders'!$G:$G,{"Missile (Land)","Development - Missile (Land)"})/1000000000)</f>
        <v>0</v>
      </c>
      <c r="AI39" s="61" cm="1">
        <f t="array" ref="AI39">SUM(SUMIFS('MAIN DATA, Orders'!$M:$M,'MAIN DATA, Orders'!$C:$C,"Germany",'MAIN DATA, Orders'!$G:$G,{"Missile (Air)","Development - Missile (Air)"},'MAIN DATA, Orders'!$Q:$Q,$A39)/1000000000)</f>
        <v>0</v>
      </c>
      <c r="AJ39" s="61" cm="1">
        <f t="array" ref="AJ39">SUM(SUMIFS('MAIN DATA, Orders'!$M:$M,'MAIN DATA, Orders'!$Q:$Q,$A39,'MAIN DATA, Orders'!$C:$C,"Germany",'MAIN DATA, Orders'!$G:$G,{"Missile (Naval)","Development - Missile (Naval)"})/1000000000)</f>
        <v>0.63700000000000001</v>
      </c>
    </row>
    <row r="40" spans="1:36">
      <c r="A40" s="72">
        <v>34</v>
      </c>
      <c r="B40" s="68">
        <v>44835</v>
      </c>
      <c r="C40" s="61">
        <f>(SUMIFS('MAIN DATA, Orders'!$M:$M,'MAIN DATA, Orders'!$Q:$Q,$A40,'MAIN DATA, Orders'!$C:$C,"Germany",'MAIN DATA, Orders'!$G:$G,"Air defence system")/1000000000)</f>
        <v>0</v>
      </c>
      <c r="D40" s="61">
        <f>(SUMIFS('MAIN DATA, Orders'!$M:$M,'MAIN DATA, Orders'!$Q:$Q,$A40,'MAIN DATA, Orders'!$C:$C,"Germany",'MAIN DATA, Orders'!$G:$G,"Development - Air defence system")/1000000000)</f>
        <v>0</v>
      </c>
      <c r="E40" s="61">
        <f>(SUMIFS('MAIN DATA, Orders'!$M:$M,'MAIN DATA, Orders'!$Q:$Q,$A40,'MAIN DATA, Orders'!$C:$C,"Germany",'MAIN DATA, Orders'!$G:$G,"Aircraft")/1000000000)</f>
        <v>0</v>
      </c>
      <c r="F40" s="61">
        <f>(SUMIFS('MAIN DATA, Orders'!$M:$M,'MAIN DATA, Orders'!$Q:$Q,$A40,'MAIN DATA, Orders'!$C:$C,"Germany",'MAIN DATA, Orders'!$G:$G,"Development - Aircraft")/1000000000)</f>
        <v>0</v>
      </c>
      <c r="G40" s="61">
        <f>(SUMIFS('MAIN DATA, Orders'!$M:$M,'MAIN DATA, Orders'!$Q:$Q,$A40,'MAIN DATA, Orders'!$C:$C,"Germany",'MAIN DATA, Orders'!$G:$G,"Ammunition")/1000000000)</f>
        <v>0</v>
      </c>
      <c r="H40" s="61">
        <f>(SUMIFS('MAIN DATA, Orders'!$M:$M,'MAIN DATA, Orders'!$Q:$Q,$A40,'MAIN DATA, Orders'!$C:$C,"Germany",'MAIN DATA, Orders'!$G:$G,"Development - Ammunition")/1000000000)</f>
        <v>9.74E-2</v>
      </c>
      <c r="I40" s="61">
        <f>(SUMIFS('MAIN DATA, Orders'!$M:$M,'MAIN DATA, Orders'!$Q:$Q,$A40,'MAIN DATA, Orders'!$C:$C,"Germany",'MAIN DATA, Orders'!$G:$G,"Armoured vehicle")/1000000000)</f>
        <v>0</v>
      </c>
      <c r="J40" s="61">
        <f>(SUMIFS('MAIN DATA, Orders'!$M:$M,'MAIN DATA, Orders'!$Q:$Q,$A40,'MAIN DATA, Orders'!$C:$C,"Germany",'MAIN DATA, Orders'!$G:$G,"Development - Armoured vehicle")/1000000000)</f>
        <v>0</v>
      </c>
      <c r="K40" s="61">
        <f>(SUMIFS('MAIN DATA, Orders'!$M:$M,'MAIN DATA, Orders'!$Q:$Q,$A40,'MAIN DATA, Orders'!$C:$C,"Germany",'MAIN DATA, Orders'!$G:$G,"Artillery")/1000000000)</f>
        <v>0</v>
      </c>
      <c r="L40" s="61">
        <f>(SUMIFS('MAIN DATA, Orders'!$M:$M,'MAIN DATA, Orders'!$Q:$Q,$A40,'MAIN DATA, Orders'!$C:$C,"Germany",'MAIN DATA, Orders'!$G:$G,"Development - Artillery")/1000000000)</f>
        <v>0</v>
      </c>
      <c r="M40" s="61">
        <f>(SUMIFS('MAIN DATA, Orders'!$M:$M,'MAIN DATA, Orders'!$Q:$Q,$A40,'MAIN DATA, Orders'!$C:$C,"Germany",'MAIN DATA, Orders'!$G:$G,"Drone")/1000000000)</f>
        <v>0</v>
      </c>
      <c r="N40" s="61">
        <f>(SUMIFS('MAIN DATA, Orders'!$M:$M,'MAIN DATA, Orders'!$Q:$Q,$A40,'MAIN DATA, Orders'!$C:$C,"Germany",'MAIN DATA, Orders'!$G:$G,"Development - Drone")/1000000000)</f>
        <v>0</v>
      </c>
      <c r="O40" s="61">
        <f>(SUMIFS('MAIN DATA, Orders'!$M:$M,'MAIN DATA, Orders'!$Q:$Q,$A40,'MAIN DATA, Orders'!$C:$C,"Germany",'MAIN DATA, Orders'!$G:$G,"Helicopter")/1000000000)</f>
        <v>0</v>
      </c>
      <c r="P40" s="61">
        <f>(SUMIFS('MAIN DATA, Orders'!$M:$M,'MAIN DATA, Orders'!$Q:$Q,$A40,'MAIN DATA, Orders'!$C:$C,"Germany",'MAIN DATA, Orders'!$G:$G,"Development - Helicopter")/1000000000)</f>
        <v>0</v>
      </c>
      <c r="Q40" s="61">
        <f>(SUMIFS('MAIN DATA, Orders'!$M:$M,'MAIN DATA, Orders'!$Q:$Q,$A40,'MAIN DATA, Orders'!$C:$C,"Germany",'MAIN DATA, Orders'!$G:$G,"Infantry")/1000000000)</f>
        <v>0</v>
      </c>
      <c r="R40" s="61">
        <f>(SUMIFS('MAIN DATA, Orders'!$M:$M,'MAIN DATA, Orders'!$Q:$Q,$A40,'MAIN DATA, Orders'!$C:$C,"Germany",'MAIN DATA, Orders'!$G:$G,"Development - Infantry")/1000000000)</f>
        <v>0</v>
      </c>
      <c r="S40" s="61">
        <f>(SUMIFS('MAIN DATA, Orders'!$M:$M,'MAIN DATA, Orders'!$Q:$Q,$A40,'MAIN DATA, Orders'!$C:$C,"Germany",'MAIN DATA, Orders'!$G:$G,"Tank")/1000000000)</f>
        <v>0</v>
      </c>
      <c r="T40" s="61">
        <f>(SUMIFS('MAIN DATA, Orders'!$M:$M,'MAIN DATA, Orders'!$Q:$Q,$A40,'MAIN DATA, Orders'!$C:$C,"Germany",'MAIN DATA, Orders'!$G:$G,"Development - Tank")/1000000000)</f>
        <v>0</v>
      </c>
      <c r="U40" s="61">
        <f>(SUMIFS('MAIN DATA, Orders'!$M:$M,'MAIN DATA, Orders'!$Q:$Q,$A40,'MAIN DATA, Orders'!$C:$C,"Germany",'MAIN DATA, Orders'!$G:$G,"Maintenance")/1000000000)</f>
        <v>0</v>
      </c>
      <c r="V40" s="61">
        <f>(SUMIFS('MAIN DATA, Orders'!$M:$M,'MAIN DATA, Orders'!$Q:$Q,$A40,'MAIN DATA, Orders'!$C:$C,"Germany",'MAIN DATA, Orders'!$G:$G,"Development - Maintenance")/1000000000)</f>
        <v>0</v>
      </c>
      <c r="W40" s="61">
        <f>(SUMIFS('MAIN DATA, Orders'!$M:$M,'MAIN DATA, Orders'!$Q:$Q,$A40,'MAIN DATA, Orders'!$C:$C,"Germany",'MAIN DATA, Orders'!$G:$G,"Mine")/1000000000)</f>
        <v>0</v>
      </c>
      <c r="X40" s="61">
        <f>(SUMIFS('MAIN DATA, Orders'!$M:$M,'MAIN DATA, Orders'!$Q:$Q,$A40,'MAIN DATA, Orders'!$C:$C,"Germany",'MAIN DATA, Orders'!$G:$G,"Development - Mine")/1000000000)</f>
        <v>0</v>
      </c>
      <c r="Y40" s="61">
        <f>(SUMIFS('MAIN DATA, Orders'!$M:$M,'MAIN DATA, Orders'!$Q:$Q,$A40,'MAIN DATA, Orders'!$C:$C,"Germany",'MAIN DATA, Orders'!$H:$H,"6")/1000000000)</f>
        <v>0</v>
      </c>
      <c r="Z40" s="61" cm="1">
        <f t="array" ref="Z40">SUM(SUMIFS('MAIN DATA, Orders'!$M:$M,'MAIN DATA, Orders'!$Q:$Q,$A40,'MAIN DATA, Orders'!$C:$C,"Germany",'MAIN DATA, Orders'!$G:$G,{"Development - Missile (Land)","Development - Missile (Naval)","Development - Missile (Air)"})/1000000000)</f>
        <v>0</v>
      </c>
      <c r="AA40" s="61">
        <f>(SUMIFS('MAIN DATA, Orders'!$M:$M,'MAIN DATA, Orders'!$Q:$Q,$A40,'MAIN DATA, Orders'!$C:$C,"Germany",'MAIN DATA, Orders'!$G:$G,"Modernisation")/1000000000)</f>
        <v>7.4999999999999997E-3</v>
      </c>
      <c r="AB40" s="61">
        <f>(SUMIFS('MAIN DATA, Orders'!$M:$M,'MAIN DATA, Orders'!$Q:$Q,$A40,'MAIN DATA, Orders'!$C:$C,"Germany",'MAIN DATA, Orders'!$G:$G,"Development - Modernisation")/1000000000)</f>
        <v>0</v>
      </c>
      <c r="AC40" s="61">
        <f>(SUMIFS('MAIN DATA, Orders'!$M:$M,'MAIN DATA, Orders'!$Q:$Q,$A40,'MAIN DATA, Orders'!$C:$C,"Germany",'MAIN DATA, Orders'!$G:$G,"Naval")/1000000000)</f>
        <v>0</v>
      </c>
      <c r="AD40" s="61">
        <f>(SUMIFS('MAIN DATA, Orders'!$M:$M,'MAIN DATA, Orders'!$Q:$Q,$A40,'MAIN DATA, Orders'!$C:$C,"Germany",'MAIN DATA, Orders'!$G:$G,"Development - Naval")/1000000000)</f>
        <v>0</v>
      </c>
      <c r="AE40" s="61">
        <f>(SUMIFS('MAIN DATA, Orders'!$M:$M,'MAIN DATA, Orders'!$Q:$Q,$A40,'MAIN DATA, Orders'!$C:$C,"Germany",'MAIN DATA, Orders'!$G:$G,"Other")/1000000000)</f>
        <v>0</v>
      </c>
      <c r="AF40" s="61">
        <f>(SUMIFS('MAIN DATA, Orders'!$M:$M,'MAIN DATA, Orders'!$Q:$Q,$A40,'MAIN DATA, Orders'!$C:$C,"Germany",'MAIN DATA, Orders'!$G:$G,"Development - Other")/1000000000)</f>
        <v>0</v>
      </c>
      <c r="AG40" s="61"/>
      <c r="AH40" s="61" cm="1">
        <f t="array" ref="AH40">SUM(SUMIFS('MAIN DATA, Orders'!$M:$M,'MAIN DATA, Orders'!$Q:$Q,$A40,'MAIN DATA, Orders'!$C:$C,"Germany",'MAIN DATA, Orders'!$G:$G,{"Missile (Land)","Development - Missile (Land)"})/1000000000)</f>
        <v>0</v>
      </c>
      <c r="AI40" s="61" cm="1">
        <f t="array" ref="AI40">SUM(SUMIFS('MAIN DATA, Orders'!$M:$M,'MAIN DATA, Orders'!$C:$C,"Germany",'MAIN DATA, Orders'!$G:$G,{"Missile (Air)","Development - Missile (Air)"},'MAIN DATA, Orders'!$Q:$Q,$A40)/1000000000)</f>
        <v>0</v>
      </c>
      <c r="AJ40" s="61" cm="1">
        <f t="array" ref="AJ40">SUM(SUMIFS('MAIN DATA, Orders'!$M:$M,'MAIN DATA, Orders'!$Q:$Q,$A40,'MAIN DATA, Orders'!$C:$C,"Germany",'MAIN DATA, Orders'!$G:$G,{"Missile (Naval)","Development - Missile (Naval)"})/1000000000)</f>
        <v>0</v>
      </c>
    </row>
    <row r="41" spans="1:36">
      <c r="A41" s="72">
        <v>35</v>
      </c>
      <c r="B41" s="68">
        <v>44866</v>
      </c>
      <c r="C41" s="61">
        <f>(SUMIFS('MAIN DATA, Orders'!$M:$M,'MAIN DATA, Orders'!$Q:$Q,$A41,'MAIN DATA, Orders'!$C:$C,"Germany",'MAIN DATA, Orders'!$G:$G,"Air defence system")/1000000000)</f>
        <v>0</v>
      </c>
      <c r="D41" s="61">
        <f>(SUMIFS('MAIN DATA, Orders'!$M:$M,'MAIN DATA, Orders'!$Q:$Q,$A41,'MAIN DATA, Orders'!$C:$C,"Germany",'MAIN DATA, Orders'!$G:$G,"Development - Air defence system")/1000000000)</f>
        <v>0</v>
      </c>
      <c r="E41" s="61">
        <f>(SUMIFS('MAIN DATA, Orders'!$M:$M,'MAIN DATA, Orders'!$Q:$Q,$A41,'MAIN DATA, Orders'!$C:$C,"Germany",'MAIN DATA, Orders'!$G:$G,"Aircraft")/1000000000)</f>
        <v>0</v>
      </c>
      <c r="F41" s="61">
        <f>(SUMIFS('MAIN DATA, Orders'!$M:$M,'MAIN DATA, Orders'!$Q:$Q,$A41,'MAIN DATA, Orders'!$C:$C,"Germany",'MAIN DATA, Orders'!$G:$G,"Development - Aircraft")/1000000000)</f>
        <v>0</v>
      </c>
      <c r="G41" s="61">
        <f>(SUMIFS('MAIN DATA, Orders'!$M:$M,'MAIN DATA, Orders'!$Q:$Q,$A41,'MAIN DATA, Orders'!$C:$C,"Germany",'MAIN DATA, Orders'!$G:$G,"Ammunition")/1000000000)</f>
        <v>0</v>
      </c>
      <c r="H41" s="61">
        <f>(SUMIFS('MAIN DATA, Orders'!$M:$M,'MAIN DATA, Orders'!$Q:$Q,$A41,'MAIN DATA, Orders'!$C:$C,"Germany",'MAIN DATA, Orders'!$G:$G,"Development - Ammunition")/1000000000)</f>
        <v>0</v>
      </c>
      <c r="I41" s="61">
        <f>(SUMIFS('MAIN DATA, Orders'!$M:$M,'MAIN DATA, Orders'!$Q:$Q,$A41,'MAIN DATA, Orders'!$C:$C,"Germany",'MAIN DATA, Orders'!$G:$G,"Armoured vehicle")/1000000000)</f>
        <v>0</v>
      </c>
      <c r="J41" s="61">
        <f>(SUMIFS('MAIN DATA, Orders'!$M:$M,'MAIN DATA, Orders'!$Q:$Q,$A41,'MAIN DATA, Orders'!$C:$C,"Germany",'MAIN DATA, Orders'!$G:$G,"Development - Armoured vehicle")/1000000000)</f>
        <v>0</v>
      </c>
      <c r="K41" s="61">
        <f>(SUMIFS('MAIN DATA, Orders'!$M:$M,'MAIN DATA, Orders'!$Q:$Q,$A41,'MAIN DATA, Orders'!$C:$C,"Germany",'MAIN DATA, Orders'!$G:$G,"Artillery")/1000000000)</f>
        <v>0</v>
      </c>
      <c r="L41" s="61">
        <f>(SUMIFS('MAIN DATA, Orders'!$M:$M,'MAIN DATA, Orders'!$Q:$Q,$A41,'MAIN DATA, Orders'!$C:$C,"Germany",'MAIN DATA, Orders'!$G:$G,"Development - Artillery")/1000000000)</f>
        <v>0</v>
      </c>
      <c r="M41" s="61">
        <f>(SUMIFS('MAIN DATA, Orders'!$M:$M,'MAIN DATA, Orders'!$Q:$Q,$A41,'MAIN DATA, Orders'!$C:$C,"Germany",'MAIN DATA, Orders'!$G:$G,"Drone")/1000000000)</f>
        <v>0</v>
      </c>
      <c r="N41" s="61">
        <f>(SUMIFS('MAIN DATA, Orders'!$M:$M,'MAIN DATA, Orders'!$Q:$Q,$A41,'MAIN DATA, Orders'!$C:$C,"Germany",'MAIN DATA, Orders'!$G:$G,"Development - Drone")/1000000000)</f>
        <v>0</v>
      </c>
      <c r="O41" s="61">
        <f>(SUMIFS('MAIN DATA, Orders'!$M:$M,'MAIN DATA, Orders'!$Q:$Q,$A41,'MAIN DATA, Orders'!$C:$C,"Germany",'MAIN DATA, Orders'!$G:$G,"Helicopter")/1000000000)</f>
        <v>0</v>
      </c>
      <c r="P41" s="61">
        <f>(SUMIFS('MAIN DATA, Orders'!$M:$M,'MAIN DATA, Orders'!$Q:$Q,$A41,'MAIN DATA, Orders'!$C:$C,"Germany",'MAIN DATA, Orders'!$G:$G,"Development - Helicopter")/1000000000)</f>
        <v>0</v>
      </c>
      <c r="Q41" s="61">
        <f>(SUMIFS('MAIN DATA, Orders'!$M:$M,'MAIN DATA, Orders'!$Q:$Q,$A41,'MAIN DATA, Orders'!$C:$C,"Germany",'MAIN DATA, Orders'!$G:$G,"Infantry")/1000000000)</f>
        <v>0</v>
      </c>
      <c r="R41" s="61">
        <f>(SUMIFS('MAIN DATA, Orders'!$M:$M,'MAIN DATA, Orders'!$Q:$Q,$A41,'MAIN DATA, Orders'!$C:$C,"Germany",'MAIN DATA, Orders'!$G:$G,"Development - Infantry")/1000000000)</f>
        <v>0</v>
      </c>
      <c r="S41" s="61">
        <f>(SUMIFS('MAIN DATA, Orders'!$M:$M,'MAIN DATA, Orders'!$Q:$Q,$A41,'MAIN DATA, Orders'!$C:$C,"Germany",'MAIN DATA, Orders'!$G:$G,"Tank")/1000000000)</f>
        <v>0</v>
      </c>
      <c r="T41" s="61">
        <f>(SUMIFS('MAIN DATA, Orders'!$M:$M,'MAIN DATA, Orders'!$Q:$Q,$A41,'MAIN DATA, Orders'!$C:$C,"Germany",'MAIN DATA, Orders'!$G:$G,"Development - Tank")/1000000000)</f>
        <v>0</v>
      </c>
      <c r="U41" s="61">
        <f>(SUMIFS('MAIN DATA, Orders'!$M:$M,'MAIN DATA, Orders'!$Q:$Q,$A41,'MAIN DATA, Orders'!$C:$C,"Germany",'MAIN DATA, Orders'!$G:$G,"Maintenance")/1000000000)</f>
        <v>0</v>
      </c>
      <c r="V41" s="61">
        <f>(SUMIFS('MAIN DATA, Orders'!$M:$M,'MAIN DATA, Orders'!$Q:$Q,$A41,'MAIN DATA, Orders'!$C:$C,"Germany",'MAIN DATA, Orders'!$G:$G,"Development - Maintenance")/1000000000)</f>
        <v>0</v>
      </c>
      <c r="W41" s="61">
        <f>(SUMIFS('MAIN DATA, Orders'!$M:$M,'MAIN DATA, Orders'!$Q:$Q,$A41,'MAIN DATA, Orders'!$C:$C,"Germany",'MAIN DATA, Orders'!$G:$G,"Mine")/1000000000)</f>
        <v>0</v>
      </c>
      <c r="X41" s="61">
        <f>(SUMIFS('MAIN DATA, Orders'!$M:$M,'MAIN DATA, Orders'!$Q:$Q,$A41,'MAIN DATA, Orders'!$C:$C,"Germany",'MAIN DATA, Orders'!$G:$G,"Development - Mine")/1000000000)</f>
        <v>0</v>
      </c>
      <c r="Y41" s="61">
        <f>(SUMIFS('MAIN DATA, Orders'!$M:$M,'MAIN DATA, Orders'!$Q:$Q,$A41,'MAIN DATA, Orders'!$C:$C,"Germany",'MAIN DATA, Orders'!$H:$H,"6")/1000000000)</f>
        <v>0</v>
      </c>
      <c r="Z41" s="61" cm="1">
        <f t="array" ref="Z41">SUM(SUMIFS('MAIN DATA, Orders'!$M:$M,'MAIN DATA, Orders'!$Q:$Q,$A41,'MAIN DATA, Orders'!$C:$C,"Germany",'MAIN DATA, Orders'!$G:$G,{"Development - Missile (Land)","Development - Missile (Naval)","Development - Missile (Air)"})/1000000000)</f>
        <v>0</v>
      </c>
      <c r="AA41" s="61">
        <f>(SUMIFS('MAIN DATA, Orders'!$M:$M,'MAIN DATA, Orders'!$Q:$Q,$A41,'MAIN DATA, Orders'!$C:$C,"Germany",'MAIN DATA, Orders'!$G:$G,"Modernisation")/1000000000)</f>
        <v>0.15545</v>
      </c>
      <c r="AB41" s="61">
        <f>(SUMIFS('MAIN DATA, Orders'!$M:$M,'MAIN DATA, Orders'!$Q:$Q,$A41,'MAIN DATA, Orders'!$C:$C,"Germany",'MAIN DATA, Orders'!$G:$G,"Development - Modernisation")/1000000000)</f>
        <v>0</v>
      </c>
      <c r="AC41" s="61">
        <f>(SUMIFS('MAIN DATA, Orders'!$M:$M,'MAIN DATA, Orders'!$Q:$Q,$A41,'MAIN DATA, Orders'!$C:$C,"Germany",'MAIN DATA, Orders'!$G:$G,"Naval")/1000000000)</f>
        <v>0</v>
      </c>
      <c r="AD41" s="61">
        <f>(SUMIFS('MAIN DATA, Orders'!$M:$M,'MAIN DATA, Orders'!$Q:$Q,$A41,'MAIN DATA, Orders'!$C:$C,"Germany",'MAIN DATA, Orders'!$G:$G,"Development - Naval")/1000000000)</f>
        <v>0</v>
      </c>
      <c r="AE41" s="61">
        <f>(SUMIFS('MAIN DATA, Orders'!$M:$M,'MAIN DATA, Orders'!$Q:$Q,$A41,'MAIN DATA, Orders'!$C:$C,"Germany",'MAIN DATA, Orders'!$G:$G,"Other")/1000000000)</f>
        <v>0</v>
      </c>
      <c r="AF41" s="61">
        <f>(SUMIFS('MAIN DATA, Orders'!$M:$M,'MAIN DATA, Orders'!$Q:$Q,$A41,'MAIN DATA, Orders'!$C:$C,"Germany",'MAIN DATA, Orders'!$G:$G,"Development - Other")/1000000000)</f>
        <v>0</v>
      </c>
      <c r="AG41" s="61"/>
      <c r="AH41" s="61" cm="1">
        <f t="array" ref="AH41">SUM(SUMIFS('MAIN DATA, Orders'!$M:$M,'MAIN DATA, Orders'!$Q:$Q,$A41,'MAIN DATA, Orders'!$C:$C,"Germany",'MAIN DATA, Orders'!$G:$G,{"Missile (Land)","Development - Missile (Land)"})/1000000000)</f>
        <v>0</v>
      </c>
      <c r="AI41" s="61" cm="1">
        <f t="array" ref="AI41">SUM(SUMIFS('MAIN DATA, Orders'!$M:$M,'MAIN DATA, Orders'!$C:$C,"Germany",'MAIN DATA, Orders'!$G:$G,{"Missile (Air)","Development - Missile (Air)"},'MAIN DATA, Orders'!$Q:$Q,$A41)/1000000000)</f>
        <v>0</v>
      </c>
      <c r="AJ41" s="61" cm="1">
        <f t="array" ref="AJ41">SUM(SUMIFS('MAIN DATA, Orders'!$M:$M,'MAIN DATA, Orders'!$Q:$Q,$A41,'MAIN DATA, Orders'!$C:$C,"Germany",'MAIN DATA, Orders'!$G:$G,{"Missile (Naval)","Development - Missile (Naval)"})/1000000000)</f>
        <v>0</v>
      </c>
    </row>
    <row r="42" spans="1:36">
      <c r="A42" s="72">
        <v>36</v>
      </c>
      <c r="B42" s="68">
        <v>44896</v>
      </c>
      <c r="C42" s="61">
        <f>(SUMIFS('MAIN DATA, Orders'!$M:$M,'MAIN DATA, Orders'!$Q:$Q,$A42,'MAIN DATA, Orders'!$C:$C,"Germany",'MAIN DATA, Orders'!$G:$G,"Air defence system")/1000000000)</f>
        <v>0</v>
      </c>
      <c r="D42" s="61">
        <f>(SUMIFS('MAIN DATA, Orders'!$M:$M,'MAIN DATA, Orders'!$Q:$Q,$A42,'MAIN DATA, Orders'!$C:$C,"Germany",'MAIN DATA, Orders'!$G:$G,"Development - Air defence system")/1000000000)</f>
        <v>0</v>
      </c>
      <c r="E42" s="61">
        <f>(SUMIFS('MAIN DATA, Orders'!$M:$M,'MAIN DATA, Orders'!$Q:$Q,$A42,'MAIN DATA, Orders'!$C:$C,"Germany",'MAIN DATA, Orders'!$G:$G,"Aircraft")/1000000000)</f>
        <v>8.3000000000000007</v>
      </c>
      <c r="F42" s="61">
        <f>(SUMIFS('MAIN DATA, Orders'!$M:$M,'MAIN DATA, Orders'!$Q:$Q,$A42,'MAIN DATA, Orders'!$C:$C,"Germany",'MAIN DATA, Orders'!$G:$G,"Development - Aircraft")/1000000000)</f>
        <v>0</v>
      </c>
      <c r="G42" s="61">
        <f>(SUMIFS('MAIN DATA, Orders'!$M:$M,'MAIN DATA, Orders'!$Q:$Q,$A42,'MAIN DATA, Orders'!$C:$C,"Germany",'MAIN DATA, Orders'!$G:$G,"Ammunition")/1000000000)</f>
        <v>0</v>
      </c>
      <c r="H42" s="61">
        <f>(SUMIFS('MAIN DATA, Orders'!$M:$M,'MAIN DATA, Orders'!$Q:$Q,$A42,'MAIN DATA, Orders'!$C:$C,"Germany",'MAIN DATA, Orders'!$G:$G,"Development - Ammunition")/1000000000)</f>
        <v>0</v>
      </c>
      <c r="I42" s="61">
        <f>(SUMIFS('MAIN DATA, Orders'!$M:$M,'MAIN DATA, Orders'!$Q:$Q,$A42,'MAIN DATA, Orders'!$C:$C,"Germany",'MAIN DATA, Orders'!$G:$G,"Armoured vehicle")/1000000000)</f>
        <v>1.2549999999999999</v>
      </c>
      <c r="J42" s="61">
        <f>(SUMIFS('MAIN DATA, Orders'!$M:$M,'MAIN DATA, Orders'!$Q:$Q,$A42,'MAIN DATA, Orders'!$C:$C,"Germany",'MAIN DATA, Orders'!$G:$G,"Development - Armoured vehicle")/1000000000)</f>
        <v>0</v>
      </c>
      <c r="K42" s="61">
        <f>(SUMIFS('MAIN DATA, Orders'!$M:$M,'MAIN DATA, Orders'!$Q:$Q,$A42,'MAIN DATA, Orders'!$C:$C,"Germany",'MAIN DATA, Orders'!$G:$G,"Artillery")/1000000000)</f>
        <v>0</v>
      </c>
      <c r="L42" s="61">
        <f>(SUMIFS('MAIN DATA, Orders'!$M:$M,'MAIN DATA, Orders'!$Q:$Q,$A42,'MAIN DATA, Orders'!$C:$C,"Germany",'MAIN DATA, Orders'!$G:$G,"Development - Artillery")/1000000000)</f>
        <v>0</v>
      </c>
      <c r="M42" s="61">
        <f>(SUMIFS('MAIN DATA, Orders'!$M:$M,'MAIN DATA, Orders'!$Q:$Q,$A42,'MAIN DATA, Orders'!$C:$C,"Germany",'MAIN DATA, Orders'!$G:$G,"Drone")/1000000000)</f>
        <v>0</v>
      </c>
      <c r="N42" s="61">
        <f>(SUMIFS('MAIN DATA, Orders'!$M:$M,'MAIN DATA, Orders'!$Q:$Q,$A42,'MAIN DATA, Orders'!$C:$C,"Germany",'MAIN DATA, Orders'!$G:$G,"Development - Drone")/1000000000)</f>
        <v>0</v>
      </c>
      <c r="O42" s="61">
        <f>(SUMIFS('MAIN DATA, Orders'!$M:$M,'MAIN DATA, Orders'!$Q:$Q,$A42,'MAIN DATA, Orders'!$C:$C,"Germany",'MAIN DATA, Orders'!$G:$G,"Helicopter")/1000000000)</f>
        <v>0</v>
      </c>
      <c r="P42" s="61">
        <f>(SUMIFS('MAIN DATA, Orders'!$M:$M,'MAIN DATA, Orders'!$Q:$Q,$A42,'MAIN DATA, Orders'!$C:$C,"Germany",'MAIN DATA, Orders'!$G:$G,"Development - Helicopter")/1000000000)</f>
        <v>0</v>
      </c>
      <c r="Q42" s="61">
        <f>(SUMIFS('MAIN DATA, Orders'!$M:$M,'MAIN DATA, Orders'!$Q:$Q,$A42,'MAIN DATA, Orders'!$C:$C,"Germany",'MAIN DATA, Orders'!$G:$G,"Infantry")/1000000000)</f>
        <v>0.20899999999999999</v>
      </c>
      <c r="R42" s="61">
        <f>(SUMIFS('MAIN DATA, Orders'!$M:$M,'MAIN DATA, Orders'!$Q:$Q,$A42,'MAIN DATA, Orders'!$C:$C,"Germany",'MAIN DATA, Orders'!$G:$G,"Development - Infantry")/1000000000)</f>
        <v>0</v>
      </c>
      <c r="S42" s="61">
        <f>(SUMIFS('MAIN DATA, Orders'!$M:$M,'MAIN DATA, Orders'!$Q:$Q,$A42,'MAIN DATA, Orders'!$C:$C,"Germany",'MAIN DATA, Orders'!$G:$G,"Tank")/1000000000)</f>
        <v>0</v>
      </c>
      <c r="T42" s="61">
        <f>(SUMIFS('MAIN DATA, Orders'!$M:$M,'MAIN DATA, Orders'!$Q:$Q,$A42,'MAIN DATA, Orders'!$C:$C,"Germany",'MAIN DATA, Orders'!$G:$G,"Development - Tank")/1000000000)</f>
        <v>0</v>
      </c>
      <c r="U42" s="61">
        <f>(SUMIFS('MAIN DATA, Orders'!$M:$M,'MAIN DATA, Orders'!$Q:$Q,$A42,'MAIN DATA, Orders'!$C:$C,"Germany",'MAIN DATA, Orders'!$G:$G,"Maintenance")/1000000000)</f>
        <v>0</v>
      </c>
      <c r="V42" s="61">
        <f>(SUMIFS('MAIN DATA, Orders'!$M:$M,'MAIN DATA, Orders'!$Q:$Q,$A42,'MAIN DATA, Orders'!$C:$C,"Germany",'MAIN DATA, Orders'!$G:$G,"Development - Maintenance")/1000000000)</f>
        <v>0</v>
      </c>
      <c r="W42" s="61">
        <f>(SUMIFS('MAIN DATA, Orders'!$M:$M,'MAIN DATA, Orders'!$Q:$Q,$A42,'MAIN DATA, Orders'!$C:$C,"Germany",'MAIN DATA, Orders'!$G:$G,"Mine")/1000000000)</f>
        <v>0</v>
      </c>
      <c r="X42" s="61">
        <f>(SUMIFS('MAIN DATA, Orders'!$M:$M,'MAIN DATA, Orders'!$Q:$Q,$A42,'MAIN DATA, Orders'!$C:$C,"Germany",'MAIN DATA, Orders'!$G:$G,"Development - Mine")/1000000000)</f>
        <v>0</v>
      </c>
      <c r="Y42" s="61">
        <f>(SUMIFS('MAIN DATA, Orders'!$M:$M,'MAIN DATA, Orders'!$Q:$Q,$A42,'MAIN DATA, Orders'!$C:$C,"Germany",'MAIN DATA, Orders'!$H:$H,"6")/1000000000)</f>
        <v>0</v>
      </c>
      <c r="Z42" s="61" cm="1">
        <f t="array" ref="Z42">SUM(SUMIFS('MAIN DATA, Orders'!$M:$M,'MAIN DATA, Orders'!$Q:$Q,$A42,'MAIN DATA, Orders'!$C:$C,"Germany",'MAIN DATA, Orders'!$G:$G,{"Development - Missile (Land)","Development - Missile (Naval)","Development - Missile (Air)"})/1000000000)</f>
        <v>0</v>
      </c>
      <c r="AA42" s="61">
        <f>(SUMIFS('MAIN DATA, Orders'!$M:$M,'MAIN DATA, Orders'!$Q:$Q,$A42,'MAIN DATA, Orders'!$C:$C,"Germany",'MAIN DATA, Orders'!$G:$G,"Modernisation")/1000000000)</f>
        <v>5.0999999999999997E-2</v>
      </c>
      <c r="AB42" s="61">
        <f>(SUMIFS('MAIN DATA, Orders'!$M:$M,'MAIN DATA, Orders'!$Q:$Q,$A42,'MAIN DATA, Orders'!$C:$C,"Germany",'MAIN DATA, Orders'!$G:$G,"Development - Modernisation")/1000000000)</f>
        <v>0</v>
      </c>
      <c r="AC42" s="61">
        <f>(SUMIFS('MAIN DATA, Orders'!$M:$M,'MAIN DATA, Orders'!$Q:$Q,$A42,'MAIN DATA, Orders'!$C:$C,"Germany",'MAIN DATA, Orders'!$G:$G,"Naval")/1000000000)</f>
        <v>0</v>
      </c>
      <c r="AD42" s="61">
        <f>(SUMIFS('MAIN DATA, Orders'!$M:$M,'MAIN DATA, Orders'!$Q:$Q,$A42,'MAIN DATA, Orders'!$C:$C,"Germany",'MAIN DATA, Orders'!$G:$G,"Development - Naval")/1000000000)</f>
        <v>0</v>
      </c>
      <c r="AE42" s="61">
        <f>(SUMIFS('MAIN DATA, Orders'!$M:$M,'MAIN DATA, Orders'!$Q:$Q,$A42,'MAIN DATA, Orders'!$C:$C,"Germany",'MAIN DATA, Orders'!$G:$G,"Other")/1000000000)</f>
        <v>6.9000000000000006E-2</v>
      </c>
      <c r="AF42" s="61">
        <f>(SUMIFS('MAIN DATA, Orders'!$M:$M,'MAIN DATA, Orders'!$Q:$Q,$A42,'MAIN DATA, Orders'!$C:$C,"Germany",'MAIN DATA, Orders'!$G:$G,"Development - Other")/1000000000)</f>
        <v>0</v>
      </c>
      <c r="AG42" s="61"/>
      <c r="AH42" s="61" cm="1">
        <f t="array" ref="AH42">SUM(SUMIFS('MAIN DATA, Orders'!$M:$M,'MAIN DATA, Orders'!$Q:$Q,$A42,'MAIN DATA, Orders'!$C:$C,"Germany",'MAIN DATA, Orders'!$G:$G,{"Missile (Land)","Development - Missile (Land)"})/1000000000)</f>
        <v>0</v>
      </c>
      <c r="AI42" s="61" cm="1">
        <f t="array" ref="AI42">SUM(SUMIFS('MAIN DATA, Orders'!$M:$M,'MAIN DATA, Orders'!$C:$C,"Germany",'MAIN DATA, Orders'!$G:$G,{"Missile (Air)","Development - Missile (Air)"},'MAIN DATA, Orders'!$Q:$Q,$A42)/1000000000)</f>
        <v>0</v>
      </c>
      <c r="AJ42" s="61" cm="1">
        <f t="array" ref="AJ42">SUM(SUMIFS('MAIN DATA, Orders'!$M:$M,'MAIN DATA, Orders'!$Q:$Q,$A42,'MAIN DATA, Orders'!$C:$C,"Germany",'MAIN DATA, Orders'!$G:$G,{"Missile (Naval)","Development - Missile (Naval)"})/1000000000)</f>
        <v>0</v>
      </c>
    </row>
    <row r="43" spans="1:36">
      <c r="A43" s="72">
        <v>37</v>
      </c>
      <c r="B43" s="68">
        <v>44927</v>
      </c>
      <c r="C43" s="61">
        <f>(SUMIFS('MAIN DATA, Orders'!$M:$M,'MAIN DATA, Orders'!$Q:$Q,$A43,'MAIN DATA, Orders'!$C:$C,"Germany",'MAIN DATA, Orders'!$G:$G,"Air defence system")/1000000000)</f>
        <v>0</v>
      </c>
      <c r="D43" s="61">
        <f>(SUMIFS('MAIN DATA, Orders'!$M:$M,'MAIN DATA, Orders'!$Q:$Q,$A43,'MAIN DATA, Orders'!$C:$C,"Germany",'MAIN DATA, Orders'!$G:$G,"Development - Air defence system")/1000000000)</f>
        <v>0</v>
      </c>
      <c r="E43" s="61">
        <f>(SUMIFS('MAIN DATA, Orders'!$M:$M,'MAIN DATA, Orders'!$Q:$Q,$A43,'MAIN DATA, Orders'!$C:$C,"Germany",'MAIN DATA, Orders'!$G:$G,"Aircraft")/1000000000)</f>
        <v>0</v>
      </c>
      <c r="F43" s="61">
        <f>(SUMIFS('MAIN DATA, Orders'!$M:$M,'MAIN DATA, Orders'!$Q:$Q,$A43,'MAIN DATA, Orders'!$C:$C,"Germany",'MAIN DATA, Orders'!$G:$G,"Development - Aircraft")/1000000000)</f>
        <v>0</v>
      </c>
      <c r="G43" s="61">
        <f>(SUMIFS('MAIN DATA, Orders'!$M:$M,'MAIN DATA, Orders'!$Q:$Q,$A43,'MAIN DATA, Orders'!$C:$C,"Germany",'MAIN DATA, Orders'!$G:$G,"Ammunition")/1000000000)</f>
        <v>0</v>
      </c>
      <c r="H43" s="61">
        <f>(SUMIFS('MAIN DATA, Orders'!$M:$M,'MAIN DATA, Orders'!$Q:$Q,$A43,'MAIN DATA, Orders'!$C:$C,"Germany",'MAIN DATA, Orders'!$G:$G,"Development - Ammunition")/1000000000)</f>
        <v>0</v>
      </c>
      <c r="I43" s="61">
        <f>(SUMIFS('MAIN DATA, Orders'!$M:$M,'MAIN DATA, Orders'!$Q:$Q,$A43,'MAIN DATA, Orders'!$C:$C,"Germany",'MAIN DATA, Orders'!$G:$G,"Armoured vehicle")/1000000000)</f>
        <v>0</v>
      </c>
      <c r="J43" s="61">
        <f>(SUMIFS('MAIN DATA, Orders'!$M:$M,'MAIN DATA, Orders'!$Q:$Q,$A43,'MAIN DATA, Orders'!$C:$C,"Germany",'MAIN DATA, Orders'!$G:$G,"Development - Armoured vehicle")/1000000000)</f>
        <v>0</v>
      </c>
      <c r="K43" s="61">
        <f>(SUMIFS('MAIN DATA, Orders'!$M:$M,'MAIN DATA, Orders'!$Q:$Q,$A43,'MAIN DATA, Orders'!$C:$C,"Germany",'MAIN DATA, Orders'!$G:$G,"Artillery")/1000000000)</f>
        <v>0</v>
      </c>
      <c r="L43" s="61">
        <f>(SUMIFS('MAIN DATA, Orders'!$M:$M,'MAIN DATA, Orders'!$Q:$Q,$A43,'MAIN DATA, Orders'!$C:$C,"Germany",'MAIN DATA, Orders'!$G:$G,"Development - Artillery")/1000000000)</f>
        <v>0</v>
      </c>
      <c r="M43" s="61">
        <f>(SUMIFS('MAIN DATA, Orders'!$M:$M,'MAIN DATA, Orders'!$Q:$Q,$A43,'MAIN DATA, Orders'!$C:$C,"Germany",'MAIN DATA, Orders'!$G:$G,"Drone")/1000000000)</f>
        <v>0</v>
      </c>
      <c r="N43" s="61">
        <f>(SUMIFS('MAIN DATA, Orders'!$M:$M,'MAIN DATA, Orders'!$Q:$Q,$A43,'MAIN DATA, Orders'!$C:$C,"Germany",'MAIN DATA, Orders'!$G:$G,"Development - Drone")/1000000000)</f>
        <v>0</v>
      </c>
      <c r="O43" s="61">
        <f>(SUMIFS('MAIN DATA, Orders'!$M:$M,'MAIN DATA, Orders'!$Q:$Q,$A43,'MAIN DATA, Orders'!$C:$C,"Germany",'MAIN DATA, Orders'!$G:$G,"Helicopter")/1000000000)</f>
        <v>0</v>
      </c>
      <c r="P43" s="61">
        <f>(SUMIFS('MAIN DATA, Orders'!$M:$M,'MAIN DATA, Orders'!$Q:$Q,$A43,'MAIN DATA, Orders'!$C:$C,"Germany",'MAIN DATA, Orders'!$G:$G,"Development - Helicopter")/1000000000)</f>
        <v>0</v>
      </c>
      <c r="Q43" s="61">
        <f>(SUMIFS('MAIN DATA, Orders'!$M:$M,'MAIN DATA, Orders'!$Q:$Q,$A43,'MAIN DATA, Orders'!$C:$C,"Germany",'MAIN DATA, Orders'!$G:$G,"Infantry")/1000000000)</f>
        <v>0</v>
      </c>
      <c r="R43" s="61">
        <f>(SUMIFS('MAIN DATA, Orders'!$M:$M,'MAIN DATA, Orders'!$Q:$Q,$A43,'MAIN DATA, Orders'!$C:$C,"Germany",'MAIN DATA, Orders'!$G:$G,"Development - Infantry")/1000000000)</f>
        <v>0</v>
      </c>
      <c r="S43" s="61">
        <f>(SUMIFS('MAIN DATA, Orders'!$M:$M,'MAIN DATA, Orders'!$Q:$Q,$A43,'MAIN DATA, Orders'!$C:$C,"Germany",'MAIN DATA, Orders'!$G:$G,"Tank")/1000000000)</f>
        <v>0</v>
      </c>
      <c r="T43" s="61">
        <f>(SUMIFS('MAIN DATA, Orders'!$M:$M,'MAIN DATA, Orders'!$Q:$Q,$A43,'MAIN DATA, Orders'!$C:$C,"Germany",'MAIN DATA, Orders'!$G:$G,"Development - Tank")/1000000000)</f>
        <v>0</v>
      </c>
      <c r="U43" s="61">
        <f>(SUMIFS('MAIN DATA, Orders'!$M:$M,'MAIN DATA, Orders'!$Q:$Q,$A43,'MAIN DATA, Orders'!$C:$C,"Germany",'MAIN DATA, Orders'!$G:$G,"Maintenance")/1000000000)</f>
        <v>0</v>
      </c>
      <c r="V43" s="61">
        <f>(SUMIFS('MAIN DATA, Orders'!$M:$M,'MAIN DATA, Orders'!$Q:$Q,$A43,'MAIN DATA, Orders'!$C:$C,"Germany",'MAIN DATA, Orders'!$G:$G,"Development - Maintenance")/1000000000)</f>
        <v>0</v>
      </c>
      <c r="W43" s="61">
        <f>(SUMIFS('MAIN DATA, Orders'!$M:$M,'MAIN DATA, Orders'!$Q:$Q,$A43,'MAIN DATA, Orders'!$C:$C,"Germany",'MAIN DATA, Orders'!$G:$G,"Mine")/1000000000)</f>
        <v>0</v>
      </c>
      <c r="X43" s="61">
        <f>(SUMIFS('MAIN DATA, Orders'!$M:$M,'MAIN DATA, Orders'!$Q:$Q,$A43,'MAIN DATA, Orders'!$C:$C,"Germany",'MAIN DATA, Orders'!$G:$G,"Development - Mine")/1000000000)</f>
        <v>0</v>
      </c>
      <c r="Y43" s="61">
        <f>(SUMIFS('MAIN DATA, Orders'!$M:$M,'MAIN DATA, Orders'!$Q:$Q,$A43,'MAIN DATA, Orders'!$C:$C,"Germany",'MAIN DATA, Orders'!$H:$H,"6")/1000000000)</f>
        <v>0</v>
      </c>
      <c r="Z43" s="61" cm="1">
        <f t="array" ref="Z43">SUM(SUMIFS('MAIN DATA, Orders'!$M:$M,'MAIN DATA, Orders'!$Q:$Q,$A43,'MAIN DATA, Orders'!$C:$C,"Germany",'MAIN DATA, Orders'!$G:$G,{"Development - Missile (Land)","Development - Missile (Naval)","Development - Missile (Air)"})/1000000000)</f>
        <v>0</v>
      </c>
      <c r="AA43" s="61">
        <f>(SUMIFS('MAIN DATA, Orders'!$M:$M,'MAIN DATA, Orders'!$Q:$Q,$A43,'MAIN DATA, Orders'!$C:$C,"Germany",'MAIN DATA, Orders'!$G:$G,"Modernisation")/1000000000)</f>
        <v>0</v>
      </c>
      <c r="AB43" s="61">
        <f>(SUMIFS('MAIN DATA, Orders'!$M:$M,'MAIN DATA, Orders'!$Q:$Q,$A43,'MAIN DATA, Orders'!$C:$C,"Germany",'MAIN DATA, Orders'!$G:$G,"Development - Modernisation")/1000000000)</f>
        <v>0</v>
      </c>
      <c r="AC43" s="61">
        <f>(SUMIFS('MAIN DATA, Orders'!$M:$M,'MAIN DATA, Orders'!$Q:$Q,$A43,'MAIN DATA, Orders'!$C:$C,"Germany",'MAIN DATA, Orders'!$G:$G,"Naval")/1000000000)</f>
        <v>0</v>
      </c>
      <c r="AD43" s="61">
        <f>(SUMIFS('MAIN DATA, Orders'!$M:$M,'MAIN DATA, Orders'!$Q:$Q,$A43,'MAIN DATA, Orders'!$C:$C,"Germany",'MAIN DATA, Orders'!$G:$G,"Development - Naval")/1000000000)</f>
        <v>0</v>
      </c>
      <c r="AE43" s="61">
        <f>(SUMIFS('MAIN DATA, Orders'!$M:$M,'MAIN DATA, Orders'!$Q:$Q,$A43,'MAIN DATA, Orders'!$C:$C,"Germany",'MAIN DATA, Orders'!$G:$G,"Other")/1000000000)</f>
        <v>0</v>
      </c>
      <c r="AF43" s="61">
        <f>(SUMIFS('MAIN DATA, Orders'!$M:$M,'MAIN DATA, Orders'!$Q:$Q,$A43,'MAIN DATA, Orders'!$C:$C,"Germany",'MAIN DATA, Orders'!$G:$G,"Development - Other")/1000000000)</f>
        <v>0</v>
      </c>
      <c r="AG43" s="61"/>
      <c r="AH43" s="61" cm="1">
        <f t="array" ref="AH43">SUM(SUMIFS('MAIN DATA, Orders'!$M:$M,'MAIN DATA, Orders'!$Q:$Q,$A43,'MAIN DATA, Orders'!$C:$C,"Germany",'MAIN DATA, Orders'!$G:$G,{"Missile (Land)","Development - Missile (Land)"})/1000000000)</f>
        <v>0</v>
      </c>
      <c r="AI43" s="61" cm="1">
        <f t="array" ref="AI43">SUM(SUMIFS('MAIN DATA, Orders'!$M:$M,'MAIN DATA, Orders'!$C:$C,"Germany",'MAIN DATA, Orders'!$G:$G,{"Missile (Air)","Development - Missile (Air)"},'MAIN DATA, Orders'!$Q:$Q,$A43)/1000000000)</f>
        <v>0</v>
      </c>
      <c r="AJ43" s="61" cm="1">
        <f t="array" ref="AJ43">SUM(SUMIFS('MAIN DATA, Orders'!$M:$M,'MAIN DATA, Orders'!$Q:$Q,$A43,'MAIN DATA, Orders'!$C:$C,"Germany",'MAIN DATA, Orders'!$G:$G,{"Missile (Naval)","Development - Missile (Naval)"})/1000000000)</f>
        <v>0</v>
      </c>
    </row>
    <row r="44" spans="1:36">
      <c r="A44" s="72">
        <v>38</v>
      </c>
      <c r="B44" s="68">
        <v>44958</v>
      </c>
      <c r="C44" s="61">
        <f>(SUMIFS('MAIN DATA, Orders'!$M:$M,'MAIN DATA, Orders'!$Q:$Q,$A44,'MAIN DATA, Orders'!$C:$C,"Germany",'MAIN DATA, Orders'!$G:$G,"Air defence system")/1000000000)</f>
        <v>0</v>
      </c>
      <c r="D44" s="61">
        <f>(SUMIFS('MAIN DATA, Orders'!$M:$M,'MAIN DATA, Orders'!$Q:$Q,$A44,'MAIN DATA, Orders'!$C:$C,"Germany",'MAIN DATA, Orders'!$G:$G,"Development - Air defence system")/1000000000)</f>
        <v>0</v>
      </c>
      <c r="E44" s="61">
        <f>(SUMIFS('MAIN DATA, Orders'!$M:$M,'MAIN DATA, Orders'!$Q:$Q,$A44,'MAIN DATA, Orders'!$C:$C,"Germany",'MAIN DATA, Orders'!$G:$G,"Aircraft")/1000000000)</f>
        <v>0</v>
      </c>
      <c r="F44" s="61">
        <f>(SUMIFS('MAIN DATA, Orders'!$M:$M,'MAIN DATA, Orders'!$Q:$Q,$A44,'MAIN DATA, Orders'!$C:$C,"Germany",'MAIN DATA, Orders'!$G:$G,"Development - Aircraft")/1000000000)</f>
        <v>0</v>
      </c>
      <c r="G44" s="61">
        <f>(SUMIFS('MAIN DATA, Orders'!$M:$M,'MAIN DATA, Orders'!$Q:$Q,$A44,'MAIN DATA, Orders'!$C:$C,"Germany",'MAIN DATA, Orders'!$G:$G,"Ammunition")/1000000000)</f>
        <v>0.16800000000000001</v>
      </c>
      <c r="H44" s="61">
        <f>(SUMIFS('MAIN DATA, Orders'!$M:$M,'MAIN DATA, Orders'!$Q:$Q,$A44,'MAIN DATA, Orders'!$C:$C,"Germany",'MAIN DATA, Orders'!$G:$G,"Development - Ammunition")/1000000000)</f>
        <v>0</v>
      </c>
      <c r="I44" s="61">
        <f>(SUMIFS('MAIN DATA, Orders'!$M:$M,'MAIN DATA, Orders'!$Q:$Q,$A44,'MAIN DATA, Orders'!$C:$C,"Germany",'MAIN DATA, Orders'!$G:$G,"Armoured vehicle")/1000000000)</f>
        <v>0</v>
      </c>
      <c r="J44" s="61">
        <f>(SUMIFS('MAIN DATA, Orders'!$M:$M,'MAIN DATA, Orders'!$Q:$Q,$A44,'MAIN DATA, Orders'!$C:$C,"Germany",'MAIN DATA, Orders'!$G:$G,"Development - Armoured vehicle")/1000000000)</f>
        <v>0</v>
      </c>
      <c r="K44" s="61">
        <f>(SUMIFS('MAIN DATA, Orders'!$M:$M,'MAIN DATA, Orders'!$Q:$Q,$A44,'MAIN DATA, Orders'!$C:$C,"Germany",'MAIN DATA, Orders'!$G:$G,"Artillery")/1000000000)</f>
        <v>0</v>
      </c>
      <c r="L44" s="61">
        <f>(SUMIFS('MAIN DATA, Orders'!$M:$M,'MAIN DATA, Orders'!$Q:$Q,$A44,'MAIN DATA, Orders'!$C:$C,"Germany",'MAIN DATA, Orders'!$G:$G,"Development - Artillery")/1000000000)</f>
        <v>0</v>
      </c>
      <c r="M44" s="61">
        <f>(SUMIFS('MAIN DATA, Orders'!$M:$M,'MAIN DATA, Orders'!$Q:$Q,$A44,'MAIN DATA, Orders'!$C:$C,"Germany",'MAIN DATA, Orders'!$G:$G,"Drone")/1000000000)</f>
        <v>0</v>
      </c>
      <c r="N44" s="61">
        <f>(SUMIFS('MAIN DATA, Orders'!$M:$M,'MAIN DATA, Orders'!$Q:$Q,$A44,'MAIN DATA, Orders'!$C:$C,"Germany",'MAIN DATA, Orders'!$G:$G,"Development - Drone")/1000000000)</f>
        <v>0</v>
      </c>
      <c r="O44" s="61">
        <f>(SUMIFS('MAIN DATA, Orders'!$M:$M,'MAIN DATA, Orders'!$Q:$Q,$A44,'MAIN DATA, Orders'!$C:$C,"Germany",'MAIN DATA, Orders'!$G:$G,"Helicopter")/1000000000)</f>
        <v>0</v>
      </c>
      <c r="P44" s="61">
        <f>(SUMIFS('MAIN DATA, Orders'!$M:$M,'MAIN DATA, Orders'!$Q:$Q,$A44,'MAIN DATA, Orders'!$C:$C,"Germany",'MAIN DATA, Orders'!$G:$G,"Development - Helicopter")/1000000000)</f>
        <v>0</v>
      </c>
      <c r="Q44" s="61">
        <f>(SUMIFS('MAIN DATA, Orders'!$M:$M,'MAIN DATA, Orders'!$Q:$Q,$A44,'MAIN DATA, Orders'!$C:$C,"Germany",'MAIN DATA, Orders'!$G:$G,"Infantry")/1000000000)</f>
        <v>0</v>
      </c>
      <c r="R44" s="61">
        <f>(SUMIFS('MAIN DATA, Orders'!$M:$M,'MAIN DATA, Orders'!$Q:$Q,$A44,'MAIN DATA, Orders'!$C:$C,"Germany",'MAIN DATA, Orders'!$G:$G,"Development - Infantry")/1000000000)</f>
        <v>0</v>
      </c>
      <c r="S44" s="61">
        <f>(SUMIFS('MAIN DATA, Orders'!$M:$M,'MAIN DATA, Orders'!$Q:$Q,$A44,'MAIN DATA, Orders'!$C:$C,"Germany",'MAIN DATA, Orders'!$G:$G,"Tank")/1000000000)</f>
        <v>0</v>
      </c>
      <c r="T44" s="61">
        <f>(SUMIFS('MAIN DATA, Orders'!$M:$M,'MAIN DATA, Orders'!$Q:$Q,$A44,'MAIN DATA, Orders'!$C:$C,"Germany",'MAIN DATA, Orders'!$G:$G,"Development - Tank")/1000000000)</f>
        <v>0</v>
      </c>
      <c r="U44" s="61">
        <f>(SUMIFS('MAIN DATA, Orders'!$M:$M,'MAIN DATA, Orders'!$Q:$Q,$A44,'MAIN DATA, Orders'!$C:$C,"Germany",'MAIN DATA, Orders'!$G:$G,"Maintenance")/1000000000)</f>
        <v>0</v>
      </c>
      <c r="V44" s="61">
        <f>(SUMIFS('MAIN DATA, Orders'!$M:$M,'MAIN DATA, Orders'!$Q:$Q,$A44,'MAIN DATA, Orders'!$C:$C,"Germany",'MAIN DATA, Orders'!$G:$G,"Development - Maintenance")/1000000000)</f>
        <v>0</v>
      </c>
      <c r="W44" s="61">
        <f>(SUMIFS('MAIN DATA, Orders'!$M:$M,'MAIN DATA, Orders'!$Q:$Q,$A44,'MAIN DATA, Orders'!$C:$C,"Germany",'MAIN DATA, Orders'!$G:$G,"Mine")/1000000000)</f>
        <v>0</v>
      </c>
      <c r="X44" s="61">
        <f>(SUMIFS('MAIN DATA, Orders'!$M:$M,'MAIN DATA, Orders'!$Q:$Q,$A44,'MAIN DATA, Orders'!$C:$C,"Germany",'MAIN DATA, Orders'!$G:$G,"Development - Mine")/1000000000)</f>
        <v>0</v>
      </c>
      <c r="Y44" s="61">
        <f>(SUMIFS('MAIN DATA, Orders'!$M:$M,'MAIN DATA, Orders'!$Q:$Q,$A44,'MAIN DATA, Orders'!$C:$C,"Germany",'MAIN DATA, Orders'!$H:$H,"6")/1000000000)</f>
        <v>0</v>
      </c>
      <c r="Z44" s="61" cm="1">
        <f t="array" ref="Z44">SUM(SUMIFS('MAIN DATA, Orders'!$M:$M,'MAIN DATA, Orders'!$Q:$Q,$A44,'MAIN DATA, Orders'!$C:$C,"Germany",'MAIN DATA, Orders'!$G:$G,{"Development - Missile (Land)","Development - Missile (Naval)","Development - Missile (Air)"})/1000000000)</f>
        <v>0</v>
      </c>
      <c r="AA44" s="61">
        <f>(SUMIFS('MAIN DATA, Orders'!$M:$M,'MAIN DATA, Orders'!$Q:$Q,$A44,'MAIN DATA, Orders'!$C:$C,"Germany",'MAIN DATA, Orders'!$G:$G,"Modernisation")/1000000000)</f>
        <v>5.28E-2</v>
      </c>
      <c r="AB44" s="61">
        <f>(SUMIFS('MAIN DATA, Orders'!$M:$M,'MAIN DATA, Orders'!$Q:$Q,$A44,'MAIN DATA, Orders'!$C:$C,"Germany",'MAIN DATA, Orders'!$G:$G,"Development - Modernisation")/1000000000)</f>
        <v>0</v>
      </c>
      <c r="AC44" s="61">
        <f>(SUMIFS('MAIN DATA, Orders'!$M:$M,'MAIN DATA, Orders'!$Q:$Q,$A44,'MAIN DATA, Orders'!$C:$C,"Germany",'MAIN DATA, Orders'!$G:$G,"Naval")/1000000000)</f>
        <v>0</v>
      </c>
      <c r="AD44" s="61">
        <f>(SUMIFS('MAIN DATA, Orders'!$M:$M,'MAIN DATA, Orders'!$Q:$Q,$A44,'MAIN DATA, Orders'!$C:$C,"Germany",'MAIN DATA, Orders'!$G:$G,"Development - Naval")/1000000000)</f>
        <v>0</v>
      </c>
      <c r="AE44" s="61">
        <f>(SUMIFS('MAIN DATA, Orders'!$M:$M,'MAIN DATA, Orders'!$Q:$Q,$A44,'MAIN DATA, Orders'!$C:$C,"Germany",'MAIN DATA, Orders'!$G:$G,"Other")/1000000000)</f>
        <v>0</v>
      </c>
      <c r="AF44" s="61">
        <f>(SUMIFS('MAIN DATA, Orders'!$M:$M,'MAIN DATA, Orders'!$Q:$Q,$A44,'MAIN DATA, Orders'!$C:$C,"Germany",'MAIN DATA, Orders'!$G:$G,"Development - Other")/1000000000)</f>
        <v>0</v>
      </c>
      <c r="AG44" s="61"/>
      <c r="AH44" s="61" cm="1">
        <f t="array" ref="AH44">SUM(SUMIFS('MAIN DATA, Orders'!$M:$M,'MAIN DATA, Orders'!$Q:$Q,$A44,'MAIN DATA, Orders'!$C:$C,"Germany",'MAIN DATA, Orders'!$G:$G,{"Missile (Land)","Development - Missile (Land)"})/1000000000)</f>
        <v>0</v>
      </c>
      <c r="AI44" s="61" cm="1">
        <f t="array" ref="AI44">SUM(SUMIFS('MAIN DATA, Orders'!$M:$M,'MAIN DATA, Orders'!$C:$C,"Germany",'MAIN DATA, Orders'!$G:$G,{"Missile (Air)","Development - Missile (Air)"},'MAIN DATA, Orders'!$Q:$Q,$A44)/1000000000)</f>
        <v>0</v>
      </c>
      <c r="AJ44" s="61" cm="1">
        <f t="array" ref="AJ44">SUM(SUMIFS('MAIN DATA, Orders'!$M:$M,'MAIN DATA, Orders'!$Q:$Q,$A44,'MAIN DATA, Orders'!$C:$C,"Germany",'MAIN DATA, Orders'!$G:$G,{"Missile (Naval)","Development - Missile (Naval)"})/1000000000)</f>
        <v>0</v>
      </c>
    </row>
    <row r="45" spans="1:36">
      <c r="A45" s="72">
        <v>39</v>
      </c>
      <c r="B45" s="68">
        <v>44986</v>
      </c>
      <c r="C45" s="61">
        <f>(SUMIFS('MAIN DATA, Orders'!$M:$M,'MAIN DATA, Orders'!$Q:$Q,$A45,'MAIN DATA, Orders'!$C:$C,"Germany",'MAIN DATA, Orders'!$G:$G,"Air defence system")/1000000000)</f>
        <v>0</v>
      </c>
      <c r="D45" s="61">
        <f>(SUMIFS('MAIN DATA, Orders'!$M:$M,'MAIN DATA, Orders'!$Q:$Q,$A45,'MAIN DATA, Orders'!$C:$C,"Germany",'MAIN DATA, Orders'!$G:$G,"Development - Air defence system")/1000000000)</f>
        <v>0</v>
      </c>
      <c r="E45" s="61">
        <f>(SUMIFS('MAIN DATA, Orders'!$M:$M,'MAIN DATA, Orders'!$Q:$Q,$A45,'MAIN DATA, Orders'!$C:$C,"Germany",'MAIN DATA, Orders'!$G:$G,"Aircraft")/1000000000)</f>
        <v>0</v>
      </c>
      <c r="F45" s="61">
        <f>(SUMIFS('MAIN DATA, Orders'!$M:$M,'MAIN DATA, Orders'!$Q:$Q,$A45,'MAIN DATA, Orders'!$C:$C,"Germany",'MAIN DATA, Orders'!$G:$G,"Development - Aircraft")/1000000000)</f>
        <v>0</v>
      </c>
      <c r="G45" s="61">
        <f>(SUMIFS('MAIN DATA, Orders'!$M:$M,'MAIN DATA, Orders'!$Q:$Q,$A45,'MAIN DATA, Orders'!$C:$C,"Germany",'MAIN DATA, Orders'!$G:$G,"Ammunition")/1000000000)</f>
        <v>0</v>
      </c>
      <c r="H45" s="61">
        <f>(SUMIFS('MAIN DATA, Orders'!$M:$M,'MAIN DATA, Orders'!$Q:$Q,$A45,'MAIN DATA, Orders'!$C:$C,"Germany",'MAIN DATA, Orders'!$G:$G,"Development - Ammunition")/1000000000)</f>
        <v>0</v>
      </c>
      <c r="I45" s="61">
        <f>(SUMIFS('MAIN DATA, Orders'!$M:$M,'MAIN DATA, Orders'!$Q:$Q,$A45,'MAIN DATA, Orders'!$C:$C,"Germany",'MAIN DATA, Orders'!$G:$G,"Armoured vehicle")/1000000000)</f>
        <v>1.1152</v>
      </c>
      <c r="J45" s="61">
        <f>(SUMIFS('MAIN DATA, Orders'!$M:$M,'MAIN DATA, Orders'!$Q:$Q,$A45,'MAIN DATA, Orders'!$C:$C,"Germany",'MAIN DATA, Orders'!$G:$G,"Development - Armoured vehicle")/1000000000)</f>
        <v>0</v>
      </c>
      <c r="K45" s="61">
        <f>(SUMIFS('MAIN DATA, Orders'!$M:$M,'MAIN DATA, Orders'!$Q:$Q,$A45,'MAIN DATA, Orders'!$C:$C,"Germany",'MAIN DATA, Orders'!$G:$G,"Artillery")/1000000000)</f>
        <v>0.184</v>
      </c>
      <c r="L45" s="61">
        <f>(SUMIFS('MAIN DATA, Orders'!$M:$M,'MAIN DATA, Orders'!$Q:$Q,$A45,'MAIN DATA, Orders'!$C:$C,"Germany",'MAIN DATA, Orders'!$G:$G,"Development - Artillery")/1000000000)</f>
        <v>0</v>
      </c>
      <c r="M45" s="61">
        <f>(SUMIFS('MAIN DATA, Orders'!$M:$M,'MAIN DATA, Orders'!$Q:$Q,$A45,'MAIN DATA, Orders'!$C:$C,"Germany",'MAIN DATA, Orders'!$G:$G,"Drone")/1000000000)</f>
        <v>0</v>
      </c>
      <c r="N45" s="61">
        <f>(SUMIFS('MAIN DATA, Orders'!$M:$M,'MAIN DATA, Orders'!$Q:$Q,$A45,'MAIN DATA, Orders'!$C:$C,"Germany",'MAIN DATA, Orders'!$G:$G,"Development - Drone")/1000000000)</f>
        <v>0</v>
      </c>
      <c r="O45" s="61">
        <f>(SUMIFS('MAIN DATA, Orders'!$M:$M,'MAIN DATA, Orders'!$Q:$Q,$A45,'MAIN DATA, Orders'!$C:$C,"Germany",'MAIN DATA, Orders'!$G:$G,"Helicopter")/1000000000)</f>
        <v>0</v>
      </c>
      <c r="P45" s="61">
        <f>(SUMIFS('MAIN DATA, Orders'!$M:$M,'MAIN DATA, Orders'!$Q:$Q,$A45,'MAIN DATA, Orders'!$C:$C,"Germany",'MAIN DATA, Orders'!$G:$G,"Development - Helicopter")/1000000000)</f>
        <v>0</v>
      </c>
      <c r="Q45" s="61">
        <f>(SUMIFS('MAIN DATA, Orders'!$M:$M,'MAIN DATA, Orders'!$Q:$Q,$A45,'MAIN DATA, Orders'!$C:$C,"Germany",'MAIN DATA, Orders'!$G:$G,"Infantry")/1000000000)</f>
        <v>0</v>
      </c>
      <c r="R45" s="61">
        <f>(SUMIFS('MAIN DATA, Orders'!$M:$M,'MAIN DATA, Orders'!$Q:$Q,$A45,'MAIN DATA, Orders'!$C:$C,"Germany",'MAIN DATA, Orders'!$G:$G,"Development - Infantry")/1000000000)</f>
        <v>0</v>
      </c>
      <c r="S45" s="61">
        <f>(SUMIFS('MAIN DATA, Orders'!$M:$M,'MAIN DATA, Orders'!$Q:$Q,$A45,'MAIN DATA, Orders'!$C:$C,"Germany",'MAIN DATA, Orders'!$G:$G,"Tank")/1000000000)</f>
        <v>0</v>
      </c>
      <c r="T45" s="61">
        <f>(SUMIFS('MAIN DATA, Orders'!$M:$M,'MAIN DATA, Orders'!$Q:$Q,$A45,'MAIN DATA, Orders'!$C:$C,"Germany",'MAIN DATA, Orders'!$G:$G,"Development - Tank")/1000000000)</f>
        <v>0</v>
      </c>
      <c r="U45" s="61">
        <f>(SUMIFS('MAIN DATA, Orders'!$M:$M,'MAIN DATA, Orders'!$Q:$Q,$A45,'MAIN DATA, Orders'!$C:$C,"Germany",'MAIN DATA, Orders'!$G:$G,"Maintenance")/1000000000)</f>
        <v>0</v>
      </c>
      <c r="V45" s="61">
        <f>(SUMIFS('MAIN DATA, Orders'!$M:$M,'MAIN DATA, Orders'!$Q:$Q,$A45,'MAIN DATA, Orders'!$C:$C,"Germany",'MAIN DATA, Orders'!$G:$G,"Development - Maintenance")/1000000000)</f>
        <v>0</v>
      </c>
      <c r="W45" s="61">
        <f>(SUMIFS('MAIN DATA, Orders'!$M:$M,'MAIN DATA, Orders'!$Q:$Q,$A45,'MAIN DATA, Orders'!$C:$C,"Germany",'MAIN DATA, Orders'!$G:$G,"Mine")/1000000000)</f>
        <v>0</v>
      </c>
      <c r="X45" s="61">
        <f>(SUMIFS('MAIN DATA, Orders'!$M:$M,'MAIN DATA, Orders'!$Q:$Q,$A45,'MAIN DATA, Orders'!$C:$C,"Germany",'MAIN DATA, Orders'!$G:$G,"Development - Mine")/1000000000)</f>
        <v>0</v>
      </c>
      <c r="Y45" s="61">
        <f>(SUMIFS('MAIN DATA, Orders'!$M:$M,'MAIN DATA, Orders'!$Q:$Q,$A45,'MAIN DATA, Orders'!$C:$C,"Germany",'MAIN DATA, Orders'!$H:$H,"6")/1000000000)</f>
        <v>0</v>
      </c>
      <c r="Z45" s="61" cm="1">
        <f t="array" ref="Z45">SUM(SUMIFS('MAIN DATA, Orders'!$M:$M,'MAIN DATA, Orders'!$Q:$Q,$A45,'MAIN DATA, Orders'!$C:$C,"Germany",'MAIN DATA, Orders'!$G:$G,{"Development - Missile (Land)","Development - Missile (Naval)","Development - Missile (Air)"})/1000000000)</f>
        <v>0</v>
      </c>
      <c r="AA45" s="61">
        <f>(SUMIFS('MAIN DATA, Orders'!$M:$M,'MAIN DATA, Orders'!$Q:$Q,$A45,'MAIN DATA, Orders'!$C:$C,"Germany",'MAIN DATA, Orders'!$G:$G,"Modernisation")/1000000000)</f>
        <v>3.32E-2</v>
      </c>
      <c r="AB45" s="61">
        <f>(SUMIFS('MAIN DATA, Orders'!$M:$M,'MAIN DATA, Orders'!$Q:$Q,$A45,'MAIN DATA, Orders'!$C:$C,"Germany",'MAIN DATA, Orders'!$G:$G,"Development - Modernisation")/1000000000)</f>
        <v>0</v>
      </c>
      <c r="AC45" s="61">
        <f>(SUMIFS('MAIN DATA, Orders'!$M:$M,'MAIN DATA, Orders'!$Q:$Q,$A45,'MAIN DATA, Orders'!$C:$C,"Germany",'MAIN DATA, Orders'!$G:$G,"Naval")/1000000000)</f>
        <v>4.2000000000000003E-2</v>
      </c>
      <c r="AD45" s="61">
        <f>(SUMIFS('MAIN DATA, Orders'!$M:$M,'MAIN DATA, Orders'!$Q:$Q,$A45,'MAIN DATA, Orders'!$C:$C,"Germany",'MAIN DATA, Orders'!$G:$G,"Development - Naval")/1000000000)</f>
        <v>0</v>
      </c>
      <c r="AE45" s="61">
        <f>(SUMIFS('MAIN DATA, Orders'!$M:$M,'MAIN DATA, Orders'!$Q:$Q,$A45,'MAIN DATA, Orders'!$C:$C,"Germany",'MAIN DATA, Orders'!$G:$G,"Other")/1000000000)</f>
        <v>0</v>
      </c>
      <c r="AF45" s="61">
        <f>(SUMIFS('MAIN DATA, Orders'!$M:$M,'MAIN DATA, Orders'!$Q:$Q,$A45,'MAIN DATA, Orders'!$C:$C,"Germany",'MAIN DATA, Orders'!$G:$G,"Development - Other")/1000000000)</f>
        <v>0</v>
      </c>
      <c r="AG45" s="61"/>
      <c r="AH45" s="61" cm="1">
        <f t="array" ref="AH45">SUM(SUMIFS('MAIN DATA, Orders'!$M:$M,'MAIN DATA, Orders'!$Q:$Q,$A45,'MAIN DATA, Orders'!$C:$C,"Germany",'MAIN DATA, Orders'!$G:$G,{"Missile (Land)","Development - Missile (Land)"})/1000000000)</f>
        <v>0</v>
      </c>
      <c r="AI45" s="61" cm="1">
        <f t="array" ref="AI45">SUM(SUMIFS('MAIN DATA, Orders'!$M:$M,'MAIN DATA, Orders'!$C:$C,"Germany",'MAIN DATA, Orders'!$G:$G,{"Missile (Air)","Development - Missile (Air)"},'MAIN DATA, Orders'!$Q:$Q,$A45)/1000000000)</f>
        <v>0</v>
      </c>
      <c r="AJ45" s="61" cm="1">
        <f t="array" ref="AJ45">SUM(SUMIFS('MAIN DATA, Orders'!$M:$M,'MAIN DATA, Orders'!$Q:$Q,$A45,'MAIN DATA, Orders'!$C:$C,"Germany",'MAIN DATA, Orders'!$G:$G,{"Missile (Naval)","Development - Missile (Naval)"})/1000000000)</f>
        <v>0</v>
      </c>
    </row>
    <row r="46" spans="1:36">
      <c r="A46" s="72">
        <v>40</v>
      </c>
      <c r="B46" s="68">
        <v>45017</v>
      </c>
      <c r="C46" s="61">
        <f>(SUMIFS('MAIN DATA, Orders'!$M:$M,'MAIN DATA, Orders'!$Q:$Q,$A46,'MAIN DATA, Orders'!$C:$C,"Germany",'MAIN DATA, Orders'!$G:$G,"Air defence system")/1000000000)</f>
        <v>0</v>
      </c>
      <c r="D46" s="61">
        <f>(SUMIFS('MAIN DATA, Orders'!$M:$M,'MAIN DATA, Orders'!$Q:$Q,$A46,'MAIN DATA, Orders'!$C:$C,"Germany",'MAIN DATA, Orders'!$G:$G,"Development - Air defence system")/1000000000)</f>
        <v>0</v>
      </c>
      <c r="E46" s="61">
        <f>(SUMIFS('MAIN DATA, Orders'!$M:$M,'MAIN DATA, Orders'!$Q:$Q,$A46,'MAIN DATA, Orders'!$C:$C,"Germany",'MAIN DATA, Orders'!$G:$G,"Aircraft")/1000000000)</f>
        <v>0</v>
      </c>
      <c r="F46" s="61">
        <f>(SUMIFS('MAIN DATA, Orders'!$M:$M,'MAIN DATA, Orders'!$Q:$Q,$A46,'MAIN DATA, Orders'!$C:$C,"Germany",'MAIN DATA, Orders'!$G:$G,"Development - Aircraft")/1000000000)</f>
        <v>0</v>
      </c>
      <c r="G46" s="61">
        <f>(SUMIFS('MAIN DATA, Orders'!$M:$M,'MAIN DATA, Orders'!$Q:$Q,$A46,'MAIN DATA, Orders'!$C:$C,"Germany",'MAIN DATA, Orders'!$G:$G,"Ammunition")/1000000000)</f>
        <v>0</v>
      </c>
      <c r="H46" s="61">
        <f>(SUMIFS('MAIN DATA, Orders'!$M:$M,'MAIN DATA, Orders'!$Q:$Q,$A46,'MAIN DATA, Orders'!$C:$C,"Germany",'MAIN DATA, Orders'!$G:$G,"Development - Ammunition")/1000000000)</f>
        <v>0</v>
      </c>
      <c r="I46" s="61">
        <f>(SUMIFS('MAIN DATA, Orders'!$M:$M,'MAIN DATA, Orders'!$Q:$Q,$A46,'MAIN DATA, Orders'!$C:$C,"Germany",'MAIN DATA, Orders'!$G:$G,"Armoured vehicle")/1000000000)</f>
        <v>0</v>
      </c>
      <c r="J46" s="61">
        <f>(SUMIFS('MAIN DATA, Orders'!$M:$M,'MAIN DATA, Orders'!$Q:$Q,$A46,'MAIN DATA, Orders'!$C:$C,"Germany",'MAIN DATA, Orders'!$G:$G,"Development - Armoured vehicle")/1000000000)</f>
        <v>0</v>
      </c>
      <c r="K46" s="61">
        <f>(SUMIFS('MAIN DATA, Orders'!$M:$M,'MAIN DATA, Orders'!$Q:$Q,$A46,'MAIN DATA, Orders'!$C:$C,"Germany",'MAIN DATA, Orders'!$G:$G,"Artillery")/1000000000)</f>
        <v>0</v>
      </c>
      <c r="L46" s="61">
        <f>(SUMIFS('MAIN DATA, Orders'!$M:$M,'MAIN DATA, Orders'!$Q:$Q,$A46,'MAIN DATA, Orders'!$C:$C,"Germany",'MAIN DATA, Orders'!$G:$G,"Development - Artillery")/1000000000)</f>
        <v>0</v>
      </c>
      <c r="M46" s="61">
        <f>(SUMIFS('MAIN DATA, Orders'!$M:$M,'MAIN DATA, Orders'!$Q:$Q,$A46,'MAIN DATA, Orders'!$C:$C,"Germany",'MAIN DATA, Orders'!$G:$G,"Drone")/1000000000)</f>
        <v>0</v>
      </c>
      <c r="N46" s="61">
        <f>(SUMIFS('MAIN DATA, Orders'!$M:$M,'MAIN DATA, Orders'!$Q:$Q,$A46,'MAIN DATA, Orders'!$C:$C,"Germany",'MAIN DATA, Orders'!$G:$G,"Development - Drone")/1000000000)</f>
        <v>0</v>
      </c>
      <c r="O46" s="61">
        <f>(SUMIFS('MAIN DATA, Orders'!$M:$M,'MAIN DATA, Orders'!$Q:$Q,$A46,'MAIN DATA, Orders'!$C:$C,"Germany",'MAIN DATA, Orders'!$G:$G,"Helicopter")/1000000000)</f>
        <v>0</v>
      </c>
      <c r="P46" s="61">
        <f>(SUMIFS('MAIN DATA, Orders'!$M:$M,'MAIN DATA, Orders'!$Q:$Q,$A46,'MAIN DATA, Orders'!$C:$C,"Germany",'MAIN DATA, Orders'!$G:$G,"Development - Helicopter")/1000000000)</f>
        <v>0</v>
      </c>
      <c r="Q46" s="61">
        <f>(SUMIFS('MAIN DATA, Orders'!$M:$M,'MAIN DATA, Orders'!$Q:$Q,$A46,'MAIN DATA, Orders'!$C:$C,"Germany",'MAIN DATA, Orders'!$G:$G,"Infantry")/1000000000)</f>
        <v>0</v>
      </c>
      <c r="R46" s="61">
        <f>(SUMIFS('MAIN DATA, Orders'!$M:$M,'MAIN DATA, Orders'!$Q:$Q,$A46,'MAIN DATA, Orders'!$C:$C,"Germany",'MAIN DATA, Orders'!$G:$G,"Development - Infantry")/1000000000)</f>
        <v>0</v>
      </c>
      <c r="S46" s="61">
        <f>(SUMIFS('MAIN DATA, Orders'!$M:$M,'MAIN DATA, Orders'!$Q:$Q,$A46,'MAIN DATA, Orders'!$C:$C,"Germany",'MAIN DATA, Orders'!$G:$G,"Tank")/1000000000)</f>
        <v>0</v>
      </c>
      <c r="T46" s="61">
        <f>(SUMIFS('MAIN DATA, Orders'!$M:$M,'MAIN DATA, Orders'!$Q:$Q,$A46,'MAIN DATA, Orders'!$C:$C,"Germany",'MAIN DATA, Orders'!$G:$G,"Development - Tank")/1000000000)</f>
        <v>0</v>
      </c>
      <c r="U46" s="61">
        <f>(SUMIFS('MAIN DATA, Orders'!$M:$M,'MAIN DATA, Orders'!$Q:$Q,$A46,'MAIN DATA, Orders'!$C:$C,"Germany",'MAIN DATA, Orders'!$G:$G,"Maintenance")/1000000000)</f>
        <v>0</v>
      </c>
      <c r="V46" s="61">
        <f>(SUMIFS('MAIN DATA, Orders'!$M:$M,'MAIN DATA, Orders'!$Q:$Q,$A46,'MAIN DATA, Orders'!$C:$C,"Germany",'MAIN DATA, Orders'!$G:$G,"Development - Maintenance")/1000000000)</f>
        <v>0</v>
      </c>
      <c r="W46" s="61">
        <f>(SUMIFS('MAIN DATA, Orders'!$M:$M,'MAIN DATA, Orders'!$Q:$Q,$A46,'MAIN DATA, Orders'!$C:$C,"Germany",'MAIN DATA, Orders'!$G:$G,"Mine")/1000000000)</f>
        <v>0</v>
      </c>
      <c r="X46" s="61">
        <f>(SUMIFS('MAIN DATA, Orders'!$M:$M,'MAIN DATA, Orders'!$Q:$Q,$A46,'MAIN DATA, Orders'!$C:$C,"Germany",'MAIN DATA, Orders'!$G:$G,"Development - Mine")/1000000000)</f>
        <v>0</v>
      </c>
      <c r="Y46" s="61">
        <f>(SUMIFS('MAIN DATA, Orders'!$M:$M,'MAIN DATA, Orders'!$Q:$Q,$A46,'MAIN DATA, Orders'!$C:$C,"Germany",'MAIN DATA, Orders'!$H:$H,"6")/1000000000)</f>
        <v>0.26900000000000002</v>
      </c>
      <c r="Z46" s="61" cm="1">
        <f t="array" ref="Z46">SUM(SUMIFS('MAIN DATA, Orders'!$M:$M,'MAIN DATA, Orders'!$Q:$Q,$A46,'MAIN DATA, Orders'!$C:$C,"Germany",'MAIN DATA, Orders'!$G:$G,{"Development - Missile (Land)","Development - Missile (Naval)","Development - Missile (Air)"})/1000000000)</f>
        <v>0</v>
      </c>
      <c r="AA46" s="61">
        <f>(SUMIFS('MAIN DATA, Orders'!$M:$M,'MAIN DATA, Orders'!$Q:$Q,$A46,'MAIN DATA, Orders'!$C:$C,"Germany",'MAIN DATA, Orders'!$G:$G,"Modernisation")/1000000000)</f>
        <v>0.44700000000000001</v>
      </c>
      <c r="AB46" s="61">
        <f>(SUMIFS('MAIN DATA, Orders'!$M:$M,'MAIN DATA, Orders'!$Q:$Q,$A46,'MAIN DATA, Orders'!$C:$C,"Germany",'MAIN DATA, Orders'!$G:$G,"Development - Modernisation")/1000000000)</f>
        <v>0</v>
      </c>
      <c r="AC46" s="61">
        <f>(SUMIFS('MAIN DATA, Orders'!$M:$M,'MAIN DATA, Orders'!$Q:$Q,$A46,'MAIN DATA, Orders'!$C:$C,"Germany",'MAIN DATA, Orders'!$G:$G,"Naval")/1000000000)</f>
        <v>0</v>
      </c>
      <c r="AD46" s="61">
        <f>(SUMIFS('MAIN DATA, Orders'!$M:$M,'MAIN DATA, Orders'!$Q:$Q,$A46,'MAIN DATA, Orders'!$C:$C,"Germany",'MAIN DATA, Orders'!$G:$G,"Development - Naval")/1000000000)</f>
        <v>0</v>
      </c>
      <c r="AE46" s="61">
        <f>(SUMIFS('MAIN DATA, Orders'!$M:$M,'MAIN DATA, Orders'!$Q:$Q,$A46,'MAIN DATA, Orders'!$C:$C,"Germany",'MAIN DATA, Orders'!$G:$G,"Other")/1000000000)</f>
        <v>5.0999999999999997E-2</v>
      </c>
      <c r="AF46" s="61">
        <f>(SUMIFS('MAIN DATA, Orders'!$M:$M,'MAIN DATA, Orders'!$Q:$Q,$A46,'MAIN DATA, Orders'!$C:$C,"Germany",'MAIN DATA, Orders'!$G:$G,"Development - Other")/1000000000)</f>
        <v>0</v>
      </c>
      <c r="AG46" s="61"/>
      <c r="AH46" s="61" cm="1">
        <f t="array" ref="AH46">SUM(SUMIFS('MAIN DATA, Orders'!$M:$M,'MAIN DATA, Orders'!$Q:$Q,$A46,'MAIN DATA, Orders'!$C:$C,"Germany",'MAIN DATA, Orders'!$G:$G,{"Missile (Land)","Development - Missile (Land)"})/1000000000)</f>
        <v>0</v>
      </c>
      <c r="AI46" s="61" cm="1">
        <f t="array" ref="AI46">SUM(SUMIFS('MAIN DATA, Orders'!$M:$M,'MAIN DATA, Orders'!$C:$C,"Germany",'MAIN DATA, Orders'!$G:$G,{"Missile (Air)","Development - Missile (Air)"},'MAIN DATA, Orders'!$Q:$Q,$A46)/1000000000)</f>
        <v>0</v>
      </c>
      <c r="AJ46" s="61" cm="1">
        <f t="array" ref="AJ46">SUM(SUMIFS('MAIN DATA, Orders'!$M:$M,'MAIN DATA, Orders'!$Q:$Q,$A46,'MAIN DATA, Orders'!$C:$C,"Germany",'MAIN DATA, Orders'!$G:$G,{"Missile (Naval)","Development - Missile (Naval)"})/1000000000)</f>
        <v>0.26900000000000002</v>
      </c>
    </row>
    <row r="47" spans="1:36">
      <c r="A47" s="72">
        <v>41</v>
      </c>
      <c r="B47" s="68">
        <v>45047</v>
      </c>
      <c r="C47" s="61">
        <f>(SUMIFS('MAIN DATA, Orders'!$M:$M,'MAIN DATA, Orders'!$Q:$Q,$A47,'MAIN DATA, Orders'!$C:$C,"Germany",'MAIN DATA, Orders'!$G:$G,"Air defence system")/1000000000)</f>
        <v>0</v>
      </c>
      <c r="D47" s="61">
        <f>(SUMIFS('MAIN DATA, Orders'!$M:$M,'MAIN DATA, Orders'!$Q:$Q,$A47,'MAIN DATA, Orders'!$C:$C,"Germany",'MAIN DATA, Orders'!$G:$G,"Development - Air defence system")/1000000000)</f>
        <v>0</v>
      </c>
      <c r="E47" s="61">
        <f>(SUMIFS('MAIN DATA, Orders'!$M:$M,'MAIN DATA, Orders'!$Q:$Q,$A47,'MAIN DATA, Orders'!$C:$C,"Germany",'MAIN DATA, Orders'!$G:$G,"Aircraft")/1000000000)</f>
        <v>0</v>
      </c>
      <c r="F47" s="61">
        <f>(SUMIFS('MAIN DATA, Orders'!$M:$M,'MAIN DATA, Orders'!$Q:$Q,$A47,'MAIN DATA, Orders'!$C:$C,"Germany",'MAIN DATA, Orders'!$G:$G,"Development - Aircraft")/1000000000)</f>
        <v>0</v>
      </c>
      <c r="G47" s="61">
        <f>(SUMIFS('MAIN DATA, Orders'!$M:$M,'MAIN DATA, Orders'!$Q:$Q,$A47,'MAIN DATA, Orders'!$C:$C,"Germany",'MAIN DATA, Orders'!$G:$G,"Ammunition")/1000000000)</f>
        <v>0</v>
      </c>
      <c r="H47" s="61">
        <f>(SUMIFS('MAIN DATA, Orders'!$M:$M,'MAIN DATA, Orders'!$Q:$Q,$A47,'MAIN DATA, Orders'!$C:$C,"Germany",'MAIN DATA, Orders'!$G:$G,"Development - Ammunition")/1000000000)</f>
        <v>0</v>
      </c>
      <c r="I47" s="61">
        <f>(SUMIFS('MAIN DATA, Orders'!$M:$M,'MAIN DATA, Orders'!$Q:$Q,$A47,'MAIN DATA, Orders'!$C:$C,"Germany",'MAIN DATA, Orders'!$G:$G,"Armoured vehicle")/1000000000)</f>
        <v>1.087</v>
      </c>
      <c r="J47" s="61">
        <f>(SUMIFS('MAIN DATA, Orders'!$M:$M,'MAIN DATA, Orders'!$Q:$Q,$A47,'MAIN DATA, Orders'!$C:$C,"Germany",'MAIN DATA, Orders'!$G:$G,"Development - Armoured vehicle")/1000000000)</f>
        <v>0</v>
      </c>
      <c r="K47" s="61">
        <f>(SUMIFS('MAIN DATA, Orders'!$M:$M,'MAIN DATA, Orders'!$Q:$Q,$A47,'MAIN DATA, Orders'!$C:$C,"Germany",'MAIN DATA, Orders'!$G:$G,"Artillery")/1000000000)</f>
        <v>0.19070000000000001</v>
      </c>
      <c r="L47" s="61">
        <f>(SUMIFS('MAIN DATA, Orders'!$M:$M,'MAIN DATA, Orders'!$Q:$Q,$A47,'MAIN DATA, Orders'!$C:$C,"Germany",'MAIN DATA, Orders'!$G:$G,"Development - Artillery")/1000000000)</f>
        <v>0</v>
      </c>
      <c r="M47" s="61">
        <f>(SUMIFS('MAIN DATA, Orders'!$M:$M,'MAIN DATA, Orders'!$Q:$Q,$A47,'MAIN DATA, Orders'!$C:$C,"Germany",'MAIN DATA, Orders'!$G:$G,"Drone")/1000000000)</f>
        <v>0</v>
      </c>
      <c r="N47" s="61">
        <f>(SUMIFS('MAIN DATA, Orders'!$M:$M,'MAIN DATA, Orders'!$Q:$Q,$A47,'MAIN DATA, Orders'!$C:$C,"Germany",'MAIN DATA, Orders'!$G:$G,"Development - Drone")/1000000000)</f>
        <v>0</v>
      </c>
      <c r="O47" s="61">
        <f>(SUMIFS('MAIN DATA, Orders'!$M:$M,'MAIN DATA, Orders'!$Q:$Q,$A47,'MAIN DATA, Orders'!$C:$C,"Germany",'MAIN DATA, Orders'!$G:$G,"Helicopter")/1000000000)</f>
        <v>0</v>
      </c>
      <c r="P47" s="61">
        <f>(SUMIFS('MAIN DATA, Orders'!$M:$M,'MAIN DATA, Orders'!$Q:$Q,$A47,'MAIN DATA, Orders'!$C:$C,"Germany",'MAIN DATA, Orders'!$G:$G,"Development - Helicopter")/1000000000)</f>
        <v>0</v>
      </c>
      <c r="Q47" s="61">
        <f>(SUMIFS('MAIN DATA, Orders'!$M:$M,'MAIN DATA, Orders'!$Q:$Q,$A47,'MAIN DATA, Orders'!$C:$C,"Germany",'MAIN DATA, Orders'!$G:$G,"Infantry")/1000000000)</f>
        <v>0</v>
      </c>
      <c r="R47" s="61">
        <f>(SUMIFS('MAIN DATA, Orders'!$M:$M,'MAIN DATA, Orders'!$Q:$Q,$A47,'MAIN DATA, Orders'!$C:$C,"Germany",'MAIN DATA, Orders'!$G:$G,"Development - Infantry")/1000000000)</f>
        <v>0</v>
      </c>
      <c r="S47" s="61">
        <f>(SUMIFS('MAIN DATA, Orders'!$M:$M,'MAIN DATA, Orders'!$Q:$Q,$A47,'MAIN DATA, Orders'!$C:$C,"Germany",'MAIN DATA, Orders'!$G:$G,"Tank")/1000000000)</f>
        <v>0.52559999999999996</v>
      </c>
      <c r="T47" s="61">
        <f>(SUMIFS('MAIN DATA, Orders'!$M:$M,'MAIN DATA, Orders'!$Q:$Q,$A47,'MAIN DATA, Orders'!$C:$C,"Germany",'MAIN DATA, Orders'!$G:$G,"Development - Tank")/1000000000)</f>
        <v>0</v>
      </c>
      <c r="U47" s="61">
        <f>(SUMIFS('MAIN DATA, Orders'!$M:$M,'MAIN DATA, Orders'!$Q:$Q,$A47,'MAIN DATA, Orders'!$C:$C,"Germany",'MAIN DATA, Orders'!$G:$G,"Maintenance")/1000000000)</f>
        <v>0</v>
      </c>
      <c r="V47" s="61">
        <f>(SUMIFS('MAIN DATA, Orders'!$M:$M,'MAIN DATA, Orders'!$Q:$Q,$A47,'MAIN DATA, Orders'!$C:$C,"Germany",'MAIN DATA, Orders'!$G:$G,"Development - Maintenance")/1000000000)</f>
        <v>0</v>
      </c>
      <c r="W47" s="61">
        <f>(SUMIFS('MAIN DATA, Orders'!$M:$M,'MAIN DATA, Orders'!$Q:$Q,$A47,'MAIN DATA, Orders'!$C:$C,"Germany",'MAIN DATA, Orders'!$G:$G,"Mine")/1000000000)</f>
        <v>0</v>
      </c>
      <c r="X47" s="61">
        <f>(SUMIFS('MAIN DATA, Orders'!$M:$M,'MAIN DATA, Orders'!$Q:$Q,$A47,'MAIN DATA, Orders'!$C:$C,"Germany",'MAIN DATA, Orders'!$G:$G,"Development - Mine")/1000000000)</f>
        <v>0</v>
      </c>
      <c r="Y47" s="61">
        <f>(SUMIFS('MAIN DATA, Orders'!$M:$M,'MAIN DATA, Orders'!$Q:$Q,$A47,'MAIN DATA, Orders'!$C:$C,"Germany",'MAIN DATA, Orders'!$H:$H,"6")/1000000000)</f>
        <v>0</v>
      </c>
      <c r="Z47" s="61" cm="1">
        <f t="array" ref="Z47">SUM(SUMIFS('MAIN DATA, Orders'!$M:$M,'MAIN DATA, Orders'!$Q:$Q,$A47,'MAIN DATA, Orders'!$C:$C,"Germany",'MAIN DATA, Orders'!$G:$G,{"Development - Missile (Land)","Development - Missile (Naval)","Development - Missile (Air)"})/1000000000)</f>
        <v>0</v>
      </c>
      <c r="AA47" s="61">
        <f>(SUMIFS('MAIN DATA, Orders'!$M:$M,'MAIN DATA, Orders'!$Q:$Q,$A47,'MAIN DATA, Orders'!$C:$C,"Germany",'MAIN DATA, Orders'!$G:$G,"Modernisation")/1000000000)</f>
        <v>0</v>
      </c>
      <c r="AB47" s="61">
        <f>(SUMIFS('MAIN DATA, Orders'!$M:$M,'MAIN DATA, Orders'!$Q:$Q,$A47,'MAIN DATA, Orders'!$C:$C,"Germany",'MAIN DATA, Orders'!$G:$G,"Development - Modernisation")/1000000000)</f>
        <v>0</v>
      </c>
      <c r="AC47" s="61">
        <f>(SUMIFS('MAIN DATA, Orders'!$M:$M,'MAIN DATA, Orders'!$Q:$Q,$A47,'MAIN DATA, Orders'!$C:$C,"Germany",'MAIN DATA, Orders'!$G:$G,"Naval")/1000000000)</f>
        <v>0.18</v>
      </c>
      <c r="AD47" s="61">
        <f>(SUMIFS('MAIN DATA, Orders'!$M:$M,'MAIN DATA, Orders'!$Q:$Q,$A47,'MAIN DATA, Orders'!$C:$C,"Germany",'MAIN DATA, Orders'!$G:$G,"Development - Naval")/1000000000)</f>
        <v>0</v>
      </c>
      <c r="AE47" s="61">
        <f>(SUMIFS('MAIN DATA, Orders'!$M:$M,'MAIN DATA, Orders'!$Q:$Q,$A47,'MAIN DATA, Orders'!$C:$C,"Germany",'MAIN DATA, Orders'!$G:$G,"Other")/1000000000)</f>
        <v>3.2000000000000001E-2</v>
      </c>
      <c r="AF47" s="61">
        <f>(SUMIFS('MAIN DATA, Orders'!$M:$M,'MAIN DATA, Orders'!$Q:$Q,$A47,'MAIN DATA, Orders'!$C:$C,"Germany",'MAIN DATA, Orders'!$G:$G,"Development - Other")/1000000000)</f>
        <v>0</v>
      </c>
      <c r="AG47" s="61"/>
      <c r="AH47" s="61" cm="1">
        <f t="array" ref="AH47">SUM(SUMIFS('MAIN DATA, Orders'!$M:$M,'MAIN DATA, Orders'!$Q:$Q,$A47,'MAIN DATA, Orders'!$C:$C,"Germany",'MAIN DATA, Orders'!$G:$G,{"Missile (Land)","Development - Missile (Land)"})/1000000000)</f>
        <v>0</v>
      </c>
      <c r="AI47" s="61" cm="1">
        <f t="array" ref="AI47">SUM(SUMIFS('MAIN DATA, Orders'!$M:$M,'MAIN DATA, Orders'!$C:$C,"Germany",'MAIN DATA, Orders'!$G:$G,{"Missile (Air)","Development - Missile (Air)"},'MAIN DATA, Orders'!$Q:$Q,$A47)/1000000000)</f>
        <v>0</v>
      </c>
      <c r="AJ47" s="61" cm="1">
        <f t="array" ref="AJ47">SUM(SUMIFS('MAIN DATA, Orders'!$M:$M,'MAIN DATA, Orders'!$Q:$Q,$A47,'MAIN DATA, Orders'!$C:$C,"Germany",'MAIN DATA, Orders'!$G:$G,{"Missile (Naval)","Development - Missile (Naval)"})/1000000000)</f>
        <v>0</v>
      </c>
    </row>
    <row r="48" spans="1:36">
      <c r="A48" s="72">
        <v>42</v>
      </c>
      <c r="B48" s="68">
        <v>45078</v>
      </c>
      <c r="C48" s="61">
        <f>(SUMIFS('MAIN DATA, Orders'!$M:$M,'MAIN DATA, Orders'!$Q:$Q,$A48,'MAIN DATA, Orders'!$C:$C,"Germany",'MAIN DATA, Orders'!$G:$G,"Air defence system")/1000000000)</f>
        <v>0.95</v>
      </c>
      <c r="D48" s="61">
        <f>(SUMIFS('MAIN DATA, Orders'!$M:$M,'MAIN DATA, Orders'!$Q:$Q,$A48,'MAIN DATA, Orders'!$C:$C,"Germany",'MAIN DATA, Orders'!$G:$G,"Development - Air defence system")/1000000000)</f>
        <v>0</v>
      </c>
      <c r="E48" s="61">
        <f>(SUMIFS('MAIN DATA, Orders'!$M:$M,'MAIN DATA, Orders'!$Q:$Q,$A48,'MAIN DATA, Orders'!$C:$C,"Germany",'MAIN DATA, Orders'!$G:$G,"Aircraft")/1000000000)</f>
        <v>0</v>
      </c>
      <c r="F48" s="61">
        <f>(SUMIFS('MAIN DATA, Orders'!$M:$M,'MAIN DATA, Orders'!$Q:$Q,$A48,'MAIN DATA, Orders'!$C:$C,"Germany",'MAIN DATA, Orders'!$G:$G,"Development - Aircraft")/1000000000)</f>
        <v>0</v>
      </c>
      <c r="G48" s="61">
        <f>(SUMIFS('MAIN DATA, Orders'!$M:$M,'MAIN DATA, Orders'!$Q:$Q,$A48,'MAIN DATA, Orders'!$C:$C,"Germany",'MAIN DATA, Orders'!$G:$G,"Ammunition")/1000000000)</f>
        <v>0</v>
      </c>
      <c r="H48" s="61">
        <f>(SUMIFS('MAIN DATA, Orders'!$M:$M,'MAIN DATA, Orders'!$Q:$Q,$A48,'MAIN DATA, Orders'!$C:$C,"Germany",'MAIN DATA, Orders'!$G:$G,"Development - Ammunition")/1000000000)</f>
        <v>0</v>
      </c>
      <c r="I48" s="61">
        <f>(SUMIFS('MAIN DATA, Orders'!$M:$M,'MAIN DATA, Orders'!$Q:$Q,$A48,'MAIN DATA, Orders'!$C:$C,"Germany",'MAIN DATA, Orders'!$G:$G,"Armoured vehicle")/1000000000)</f>
        <v>0</v>
      </c>
      <c r="J48" s="61">
        <f>(SUMIFS('MAIN DATA, Orders'!$M:$M,'MAIN DATA, Orders'!$Q:$Q,$A48,'MAIN DATA, Orders'!$C:$C,"Germany",'MAIN DATA, Orders'!$G:$G,"Development - Armoured vehicle")/1000000000)</f>
        <v>0</v>
      </c>
      <c r="K48" s="61">
        <f>(SUMIFS('MAIN DATA, Orders'!$M:$M,'MAIN DATA, Orders'!$Q:$Q,$A48,'MAIN DATA, Orders'!$C:$C,"Germany",'MAIN DATA, Orders'!$G:$G,"Artillery")/1000000000)</f>
        <v>0</v>
      </c>
      <c r="L48" s="61">
        <f>(SUMIFS('MAIN DATA, Orders'!$M:$M,'MAIN DATA, Orders'!$Q:$Q,$A48,'MAIN DATA, Orders'!$C:$C,"Germany",'MAIN DATA, Orders'!$G:$G,"Development - Artillery")/1000000000)</f>
        <v>0</v>
      </c>
      <c r="M48" s="61">
        <f>(SUMIFS('MAIN DATA, Orders'!$M:$M,'MAIN DATA, Orders'!$Q:$Q,$A48,'MAIN DATA, Orders'!$C:$C,"Germany",'MAIN DATA, Orders'!$G:$G,"Drone")/1000000000)</f>
        <v>0</v>
      </c>
      <c r="N48" s="61">
        <f>(SUMIFS('MAIN DATA, Orders'!$M:$M,'MAIN DATA, Orders'!$Q:$Q,$A48,'MAIN DATA, Orders'!$C:$C,"Germany",'MAIN DATA, Orders'!$G:$G,"Development - Drone")/1000000000)</f>
        <v>0</v>
      </c>
      <c r="O48" s="61">
        <f>(SUMIFS('MAIN DATA, Orders'!$M:$M,'MAIN DATA, Orders'!$Q:$Q,$A48,'MAIN DATA, Orders'!$C:$C,"Germany",'MAIN DATA, Orders'!$G:$G,"Helicopter")/1000000000)</f>
        <v>0</v>
      </c>
      <c r="P48" s="61">
        <f>(SUMIFS('MAIN DATA, Orders'!$M:$M,'MAIN DATA, Orders'!$Q:$Q,$A48,'MAIN DATA, Orders'!$C:$C,"Germany",'MAIN DATA, Orders'!$G:$G,"Development - Helicopter")/1000000000)</f>
        <v>0</v>
      </c>
      <c r="Q48" s="61">
        <f>(SUMIFS('MAIN DATA, Orders'!$M:$M,'MAIN DATA, Orders'!$Q:$Q,$A48,'MAIN DATA, Orders'!$C:$C,"Germany",'MAIN DATA, Orders'!$G:$G,"Infantry")/1000000000)</f>
        <v>0</v>
      </c>
      <c r="R48" s="61">
        <f>(SUMIFS('MAIN DATA, Orders'!$M:$M,'MAIN DATA, Orders'!$Q:$Q,$A48,'MAIN DATA, Orders'!$C:$C,"Germany",'MAIN DATA, Orders'!$G:$G,"Development - Infantry")/1000000000)</f>
        <v>0</v>
      </c>
      <c r="S48" s="61">
        <f>(SUMIFS('MAIN DATA, Orders'!$M:$M,'MAIN DATA, Orders'!$Q:$Q,$A48,'MAIN DATA, Orders'!$C:$C,"Germany",'MAIN DATA, Orders'!$G:$G,"Tank")/1000000000)</f>
        <v>0</v>
      </c>
      <c r="T48" s="61">
        <f>(SUMIFS('MAIN DATA, Orders'!$M:$M,'MAIN DATA, Orders'!$Q:$Q,$A48,'MAIN DATA, Orders'!$C:$C,"Germany",'MAIN DATA, Orders'!$G:$G,"Development - Tank")/1000000000)</f>
        <v>0</v>
      </c>
      <c r="U48" s="61">
        <f>(SUMIFS('MAIN DATA, Orders'!$M:$M,'MAIN DATA, Orders'!$Q:$Q,$A48,'MAIN DATA, Orders'!$C:$C,"Germany",'MAIN DATA, Orders'!$G:$G,"Maintenance")/1000000000)</f>
        <v>0</v>
      </c>
      <c r="V48" s="61">
        <f>(SUMIFS('MAIN DATA, Orders'!$M:$M,'MAIN DATA, Orders'!$Q:$Q,$A48,'MAIN DATA, Orders'!$C:$C,"Germany",'MAIN DATA, Orders'!$G:$G,"Development - Maintenance")/1000000000)</f>
        <v>0</v>
      </c>
      <c r="W48" s="61">
        <f>(SUMIFS('MAIN DATA, Orders'!$M:$M,'MAIN DATA, Orders'!$Q:$Q,$A48,'MAIN DATA, Orders'!$C:$C,"Germany",'MAIN DATA, Orders'!$G:$G,"Mine")/1000000000)</f>
        <v>0</v>
      </c>
      <c r="X48" s="61">
        <f>(SUMIFS('MAIN DATA, Orders'!$M:$M,'MAIN DATA, Orders'!$Q:$Q,$A48,'MAIN DATA, Orders'!$C:$C,"Germany",'MAIN DATA, Orders'!$G:$G,"Development - Mine")/1000000000)</f>
        <v>0</v>
      </c>
      <c r="Y48" s="61">
        <f>(SUMIFS('MAIN DATA, Orders'!$M:$M,'MAIN DATA, Orders'!$Q:$Q,$A48,'MAIN DATA, Orders'!$C:$C,"Germany",'MAIN DATA, Orders'!$H:$H,"6")/1000000000)</f>
        <v>0</v>
      </c>
      <c r="Z48" s="61" cm="1">
        <f t="array" ref="Z48">SUM(SUMIFS('MAIN DATA, Orders'!$M:$M,'MAIN DATA, Orders'!$Q:$Q,$A48,'MAIN DATA, Orders'!$C:$C,"Germany",'MAIN DATA, Orders'!$G:$G,{"Development - Missile (Land)","Development - Missile (Naval)","Development - Missile (Air)"})/1000000000)</f>
        <v>0</v>
      </c>
      <c r="AA48" s="61">
        <f>(SUMIFS('MAIN DATA, Orders'!$M:$M,'MAIN DATA, Orders'!$Q:$Q,$A48,'MAIN DATA, Orders'!$C:$C,"Germany",'MAIN DATA, Orders'!$G:$G,"Modernisation")/1000000000)</f>
        <v>0.58599999999999997</v>
      </c>
      <c r="AB48" s="61">
        <f>(SUMIFS('MAIN DATA, Orders'!$M:$M,'MAIN DATA, Orders'!$Q:$Q,$A48,'MAIN DATA, Orders'!$C:$C,"Germany",'MAIN DATA, Orders'!$G:$G,"Development - Modernisation")/1000000000)</f>
        <v>0</v>
      </c>
      <c r="AC48" s="61">
        <f>(SUMIFS('MAIN DATA, Orders'!$M:$M,'MAIN DATA, Orders'!$Q:$Q,$A48,'MAIN DATA, Orders'!$C:$C,"Germany",'MAIN DATA, Orders'!$G:$G,"Naval")/1000000000)</f>
        <v>0</v>
      </c>
      <c r="AD48" s="61">
        <f>(SUMIFS('MAIN DATA, Orders'!$M:$M,'MAIN DATA, Orders'!$Q:$Q,$A48,'MAIN DATA, Orders'!$C:$C,"Germany",'MAIN DATA, Orders'!$G:$G,"Development - Naval")/1000000000)</f>
        <v>0</v>
      </c>
      <c r="AE48" s="61">
        <f>(SUMIFS('MAIN DATA, Orders'!$M:$M,'MAIN DATA, Orders'!$Q:$Q,$A48,'MAIN DATA, Orders'!$C:$C,"Germany",'MAIN DATA, Orders'!$G:$G,"Other")/1000000000)</f>
        <v>0.31719999999999998</v>
      </c>
      <c r="AF48" s="61">
        <f>(SUMIFS('MAIN DATA, Orders'!$M:$M,'MAIN DATA, Orders'!$Q:$Q,$A48,'MAIN DATA, Orders'!$C:$C,"Germany",'MAIN DATA, Orders'!$G:$G,"Development - Other")/1000000000)</f>
        <v>0</v>
      </c>
      <c r="AG48" s="61"/>
      <c r="AH48" s="61" cm="1">
        <f t="array" ref="AH48">SUM(SUMIFS('MAIN DATA, Orders'!$M:$M,'MAIN DATA, Orders'!$Q:$Q,$A48,'MAIN DATA, Orders'!$C:$C,"Germany",'MAIN DATA, Orders'!$G:$G,{"Missile (Land)","Development - Missile (Land)"})/1000000000)</f>
        <v>0</v>
      </c>
      <c r="AI48" s="61" cm="1">
        <f t="array" ref="AI48">SUM(SUMIFS('MAIN DATA, Orders'!$M:$M,'MAIN DATA, Orders'!$C:$C,"Germany",'MAIN DATA, Orders'!$G:$G,{"Missile (Air)","Development - Missile (Air)"},'MAIN DATA, Orders'!$Q:$Q,$A48)/1000000000)</f>
        <v>0</v>
      </c>
      <c r="AJ48" s="61" cm="1">
        <f t="array" ref="AJ48">SUM(SUMIFS('MAIN DATA, Orders'!$M:$M,'MAIN DATA, Orders'!$Q:$Q,$A48,'MAIN DATA, Orders'!$C:$C,"Germany",'MAIN DATA, Orders'!$G:$G,{"Missile (Naval)","Development - Missile (Naval)"})/1000000000)</f>
        <v>0</v>
      </c>
    </row>
    <row r="49" spans="1:36">
      <c r="A49" s="72">
        <v>43</v>
      </c>
      <c r="B49" s="68">
        <v>45108</v>
      </c>
      <c r="C49" s="61">
        <f>(SUMIFS('MAIN DATA, Orders'!$M:$M,'MAIN DATA, Orders'!$Q:$Q,$A49,'MAIN DATA, Orders'!$C:$C,"Germany",'MAIN DATA, Orders'!$G:$G,"Air defence system")/1000000000)</f>
        <v>0</v>
      </c>
      <c r="D49" s="61">
        <f>(SUMIFS('MAIN DATA, Orders'!$M:$M,'MAIN DATA, Orders'!$Q:$Q,$A49,'MAIN DATA, Orders'!$C:$C,"Germany",'MAIN DATA, Orders'!$G:$G,"Development - Air defence system")/1000000000)</f>
        <v>0</v>
      </c>
      <c r="E49" s="61">
        <f>(SUMIFS('MAIN DATA, Orders'!$M:$M,'MAIN DATA, Orders'!$Q:$Q,$A49,'MAIN DATA, Orders'!$C:$C,"Germany",'MAIN DATA, Orders'!$G:$G,"Aircraft")/1000000000)</f>
        <v>0</v>
      </c>
      <c r="F49" s="61">
        <f>(SUMIFS('MAIN DATA, Orders'!$M:$M,'MAIN DATA, Orders'!$Q:$Q,$A49,'MAIN DATA, Orders'!$C:$C,"Germany",'MAIN DATA, Orders'!$G:$G,"Development - Aircraft")/1000000000)</f>
        <v>0</v>
      </c>
      <c r="G49" s="61">
        <f>(SUMIFS('MAIN DATA, Orders'!$M:$M,'MAIN DATA, Orders'!$Q:$Q,$A49,'MAIN DATA, Orders'!$C:$C,"Germany",'MAIN DATA, Orders'!$G:$G,"Ammunition")/1000000000)</f>
        <v>0.60389999999999999</v>
      </c>
      <c r="H49" s="61">
        <f>(SUMIFS('MAIN DATA, Orders'!$M:$M,'MAIN DATA, Orders'!$Q:$Q,$A49,'MAIN DATA, Orders'!$C:$C,"Germany",'MAIN DATA, Orders'!$G:$G,"Development - Ammunition")/1000000000)</f>
        <v>0</v>
      </c>
      <c r="I49" s="61">
        <f>(SUMIFS('MAIN DATA, Orders'!$M:$M,'MAIN DATA, Orders'!$Q:$Q,$A49,'MAIN DATA, Orders'!$C:$C,"Germany",'MAIN DATA, Orders'!$G:$G,"Armoured vehicle")/1000000000)</f>
        <v>0.87</v>
      </c>
      <c r="J49" s="61">
        <f>(SUMIFS('MAIN DATA, Orders'!$M:$M,'MAIN DATA, Orders'!$Q:$Q,$A49,'MAIN DATA, Orders'!$C:$C,"Germany",'MAIN DATA, Orders'!$G:$G,"Development - Armoured vehicle")/1000000000)</f>
        <v>0</v>
      </c>
      <c r="K49" s="61">
        <f>(SUMIFS('MAIN DATA, Orders'!$M:$M,'MAIN DATA, Orders'!$Q:$Q,$A49,'MAIN DATA, Orders'!$C:$C,"Germany",'MAIN DATA, Orders'!$G:$G,"Artillery")/1000000000)</f>
        <v>0</v>
      </c>
      <c r="L49" s="61">
        <f>(SUMIFS('MAIN DATA, Orders'!$M:$M,'MAIN DATA, Orders'!$Q:$Q,$A49,'MAIN DATA, Orders'!$C:$C,"Germany",'MAIN DATA, Orders'!$G:$G,"Development - Artillery")/1000000000)</f>
        <v>0</v>
      </c>
      <c r="M49" s="61">
        <f>(SUMIFS('MAIN DATA, Orders'!$M:$M,'MAIN DATA, Orders'!$Q:$Q,$A49,'MAIN DATA, Orders'!$C:$C,"Germany",'MAIN DATA, Orders'!$G:$G,"Drone")/1000000000)</f>
        <v>0</v>
      </c>
      <c r="N49" s="61">
        <f>(SUMIFS('MAIN DATA, Orders'!$M:$M,'MAIN DATA, Orders'!$Q:$Q,$A49,'MAIN DATA, Orders'!$C:$C,"Germany",'MAIN DATA, Orders'!$G:$G,"Development - Drone")/1000000000)</f>
        <v>0</v>
      </c>
      <c r="O49" s="61">
        <f>(SUMIFS('MAIN DATA, Orders'!$M:$M,'MAIN DATA, Orders'!$Q:$Q,$A49,'MAIN DATA, Orders'!$C:$C,"Germany",'MAIN DATA, Orders'!$G:$G,"Helicopter")/1000000000)</f>
        <v>6.98</v>
      </c>
      <c r="P49" s="61">
        <f>(SUMIFS('MAIN DATA, Orders'!$M:$M,'MAIN DATA, Orders'!$Q:$Q,$A49,'MAIN DATA, Orders'!$C:$C,"Germany",'MAIN DATA, Orders'!$G:$G,"Development - Helicopter")/1000000000)</f>
        <v>0</v>
      </c>
      <c r="Q49" s="61">
        <f>(SUMIFS('MAIN DATA, Orders'!$M:$M,'MAIN DATA, Orders'!$Q:$Q,$A49,'MAIN DATA, Orders'!$C:$C,"Germany",'MAIN DATA, Orders'!$G:$G,"Infantry")/1000000000)</f>
        <v>0.13100000000000001</v>
      </c>
      <c r="R49" s="61">
        <f>(SUMIFS('MAIN DATA, Orders'!$M:$M,'MAIN DATA, Orders'!$Q:$Q,$A49,'MAIN DATA, Orders'!$C:$C,"Germany",'MAIN DATA, Orders'!$G:$G,"Development - Infantry")/1000000000)</f>
        <v>0</v>
      </c>
      <c r="S49" s="61">
        <f>(SUMIFS('MAIN DATA, Orders'!$M:$M,'MAIN DATA, Orders'!$Q:$Q,$A49,'MAIN DATA, Orders'!$C:$C,"Germany",'MAIN DATA, Orders'!$G:$G,"Tank")/1000000000)</f>
        <v>0</v>
      </c>
      <c r="T49" s="61">
        <f>(SUMIFS('MAIN DATA, Orders'!$M:$M,'MAIN DATA, Orders'!$Q:$Q,$A49,'MAIN DATA, Orders'!$C:$C,"Germany",'MAIN DATA, Orders'!$G:$G,"Development - Tank")/1000000000)</f>
        <v>0</v>
      </c>
      <c r="U49" s="61">
        <f>(SUMIFS('MAIN DATA, Orders'!$M:$M,'MAIN DATA, Orders'!$Q:$Q,$A49,'MAIN DATA, Orders'!$C:$C,"Germany",'MAIN DATA, Orders'!$G:$G,"Maintenance")/1000000000)</f>
        <v>0</v>
      </c>
      <c r="V49" s="61">
        <f>(SUMIFS('MAIN DATA, Orders'!$M:$M,'MAIN DATA, Orders'!$Q:$Q,$A49,'MAIN DATA, Orders'!$C:$C,"Germany",'MAIN DATA, Orders'!$G:$G,"Development - Maintenance")/1000000000)</f>
        <v>0</v>
      </c>
      <c r="W49" s="61">
        <f>(SUMIFS('MAIN DATA, Orders'!$M:$M,'MAIN DATA, Orders'!$Q:$Q,$A49,'MAIN DATA, Orders'!$C:$C,"Germany",'MAIN DATA, Orders'!$G:$G,"Mine")/1000000000)</f>
        <v>0</v>
      </c>
      <c r="X49" s="61">
        <f>(SUMIFS('MAIN DATA, Orders'!$M:$M,'MAIN DATA, Orders'!$Q:$Q,$A49,'MAIN DATA, Orders'!$C:$C,"Germany",'MAIN DATA, Orders'!$G:$G,"Development - Mine")/1000000000)</f>
        <v>0</v>
      </c>
      <c r="Y49" s="61">
        <f>(SUMIFS('MAIN DATA, Orders'!$M:$M,'MAIN DATA, Orders'!$Q:$Q,$A49,'MAIN DATA, Orders'!$C:$C,"Germany",'MAIN DATA, Orders'!$H:$H,"6")/1000000000)</f>
        <v>0</v>
      </c>
      <c r="Z49" s="61" cm="1">
        <f t="array" ref="Z49">SUM(SUMIFS('MAIN DATA, Orders'!$M:$M,'MAIN DATA, Orders'!$Q:$Q,$A49,'MAIN DATA, Orders'!$C:$C,"Germany",'MAIN DATA, Orders'!$G:$G,{"Development - Missile (Land)","Development - Missile (Naval)","Development - Missile (Air)"})/1000000000)</f>
        <v>0</v>
      </c>
      <c r="AA49" s="61">
        <f>(SUMIFS('MAIN DATA, Orders'!$M:$M,'MAIN DATA, Orders'!$Q:$Q,$A49,'MAIN DATA, Orders'!$C:$C,"Germany",'MAIN DATA, Orders'!$G:$G,"Modernisation")/1000000000)</f>
        <v>0</v>
      </c>
      <c r="AB49" s="61">
        <f>(SUMIFS('MAIN DATA, Orders'!$M:$M,'MAIN DATA, Orders'!$Q:$Q,$A49,'MAIN DATA, Orders'!$C:$C,"Germany",'MAIN DATA, Orders'!$G:$G,"Development - Modernisation")/1000000000)</f>
        <v>0</v>
      </c>
      <c r="AC49" s="61">
        <f>(SUMIFS('MAIN DATA, Orders'!$M:$M,'MAIN DATA, Orders'!$Q:$Q,$A49,'MAIN DATA, Orders'!$C:$C,"Germany",'MAIN DATA, Orders'!$G:$G,"Naval")/1000000000)</f>
        <v>1.1599999999999999</v>
      </c>
      <c r="AD49" s="61">
        <f>(SUMIFS('MAIN DATA, Orders'!$M:$M,'MAIN DATA, Orders'!$Q:$Q,$A49,'MAIN DATA, Orders'!$C:$C,"Germany",'MAIN DATA, Orders'!$G:$G,"Development - Naval")/1000000000)</f>
        <v>0</v>
      </c>
      <c r="AE49" s="61">
        <f>(SUMIFS('MAIN DATA, Orders'!$M:$M,'MAIN DATA, Orders'!$Q:$Q,$A49,'MAIN DATA, Orders'!$C:$C,"Germany",'MAIN DATA, Orders'!$G:$G,"Other")/1000000000)</f>
        <v>0</v>
      </c>
      <c r="AF49" s="61">
        <f>(SUMIFS('MAIN DATA, Orders'!$M:$M,'MAIN DATA, Orders'!$Q:$Q,$A49,'MAIN DATA, Orders'!$C:$C,"Germany",'MAIN DATA, Orders'!$G:$G,"Development - Other")/1000000000)</f>
        <v>0</v>
      </c>
      <c r="AG49" s="61"/>
      <c r="AH49" s="61" cm="1">
        <f t="array" ref="AH49">SUM(SUMIFS('MAIN DATA, Orders'!$M:$M,'MAIN DATA, Orders'!$Q:$Q,$A49,'MAIN DATA, Orders'!$C:$C,"Germany",'MAIN DATA, Orders'!$G:$G,{"Missile (Land)","Development - Missile (Land)"})/1000000000)</f>
        <v>0</v>
      </c>
      <c r="AI49" s="61" cm="1">
        <f t="array" ref="AI49">SUM(SUMIFS('MAIN DATA, Orders'!$M:$M,'MAIN DATA, Orders'!$C:$C,"Germany",'MAIN DATA, Orders'!$G:$G,{"Missile (Air)","Development - Missile (Air)"},'MAIN DATA, Orders'!$Q:$Q,$A49)/1000000000)</f>
        <v>0</v>
      </c>
      <c r="AJ49" s="61" cm="1">
        <f t="array" ref="AJ49">SUM(SUMIFS('MAIN DATA, Orders'!$M:$M,'MAIN DATA, Orders'!$Q:$Q,$A49,'MAIN DATA, Orders'!$C:$C,"Germany",'MAIN DATA, Orders'!$G:$G,{"Missile (Naval)","Development - Missile (Naval)"})/1000000000)</f>
        <v>0</v>
      </c>
    </row>
    <row r="50" spans="1:36">
      <c r="A50" s="72">
        <v>44</v>
      </c>
      <c r="B50" s="68">
        <v>45139</v>
      </c>
      <c r="C50" s="61">
        <f>(SUMIFS('MAIN DATA, Orders'!$M:$M,'MAIN DATA, Orders'!$Q:$Q,$A50,'MAIN DATA, Orders'!$C:$C,"Germany",'MAIN DATA, Orders'!$G:$G,"Air defence system")/1000000000)</f>
        <v>0</v>
      </c>
      <c r="D50" s="61">
        <f>(SUMIFS('MAIN DATA, Orders'!$M:$M,'MAIN DATA, Orders'!$Q:$Q,$A50,'MAIN DATA, Orders'!$C:$C,"Germany",'MAIN DATA, Orders'!$G:$G,"Development - Air defence system")/1000000000)</f>
        <v>0</v>
      </c>
      <c r="E50" s="61">
        <f>(SUMIFS('MAIN DATA, Orders'!$M:$M,'MAIN DATA, Orders'!$Q:$Q,$A50,'MAIN DATA, Orders'!$C:$C,"Germany",'MAIN DATA, Orders'!$G:$G,"Aircraft")/1000000000)</f>
        <v>0</v>
      </c>
      <c r="F50" s="61">
        <f>(SUMIFS('MAIN DATA, Orders'!$M:$M,'MAIN DATA, Orders'!$Q:$Q,$A50,'MAIN DATA, Orders'!$C:$C,"Germany",'MAIN DATA, Orders'!$G:$G,"Development - Aircraft")/1000000000)</f>
        <v>0</v>
      </c>
      <c r="G50" s="61">
        <f>(SUMIFS('MAIN DATA, Orders'!$M:$M,'MAIN DATA, Orders'!$Q:$Q,$A50,'MAIN DATA, Orders'!$C:$C,"Germany",'MAIN DATA, Orders'!$G:$G,"Ammunition")/1000000000)</f>
        <v>0</v>
      </c>
      <c r="H50" s="61">
        <f>(SUMIFS('MAIN DATA, Orders'!$M:$M,'MAIN DATA, Orders'!$Q:$Q,$A50,'MAIN DATA, Orders'!$C:$C,"Germany",'MAIN DATA, Orders'!$G:$G,"Development - Ammunition")/1000000000)</f>
        <v>0</v>
      </c>
      <c r="I50" s="61">
        <f>(SUMIFS('MAIN DATA, Orders'!$M:$M,'MAIN DATA, Orders'!$Q:$Q,$A50,'MAIN DATA, Orders'!$C:$C,"Germany",'MAIN DATA, Orders'!$G:$G,"Armoured vehicle")/1000000000)</f>
        <v>0</v>
      </c>
      <c r="J50" s="61">
        <f>(SUMIFS('MAIN DATA, Orders'!$M:$M,'MAIN DATA, Orders'!$Q:$Q,$A50,'MAIN DATA, Orders'!$C:$C,"Germany",'MAIN DATA, Orders'!$G:$G,"Development - Armoured vehicle")/1000000000)</f>
        <v>0</v>
      </c>
      <c r="K50" s="61">
        <f>(SUMIFS('MAIN DATA, Orders'!$M:$M,'MAIN DATA, Orders'!$Q:$Q,$A50,'MAIN DATA, Orders'!$C:$C,"Germany",'MAIN DATA, Orders'!$G:$G,"Artillery")/1000000000)</f>
        <v>0</v>
      </c>
      <c r="L50" s="61">
        <f>(SUMIFS('MAIN DATA, Orders'!$M:$M,'MAIN DATA, Orders'!$Q:$Q,$A50,'MAIN DATA, Orders'!$C:$C,"Germany",'MAIN DATA, Orders'!$G:$G,"Development - Artillery")/1000000000)</f>
        <v>0</v>
      </c>
      <c r="M50" s="61">
        <f>(SUMIFS('MAIN DATA, Orders'!$M:$M,'MAIN DATA, Orders'!$Q:$Q,$A50,'MAIN DATA, Orders'!$C:$C,"Germany",'MAIN DATA, Orders'!$G:$G,"Drone")/1000000000)</f>
        <v>0</v>
      </c>
      <c r="N50" s="61">
        <f>(SUMIFS('MAIN DATA, Orders'!$M:$M,'MAIN DATA, Orders'!$Q:$Q,$A50,'MAIN DATA, Orders'!$C:$C,"Germany",'MAIN DATA, Orders'!$G:$G,"Development - Drone")/1000000000)</f>
        <v>0</v>
      </c>
      <c r="O50" s="61">
        <f>(SUMIFS('MAIN DATA, Orders'!$M:$M,'MAIN DATA, Orders'!$Q:$Q,$A50,'MAIN DATA, Orders'!$C:$C,"Germany",'MAIN DATA, Orders'!$G:$G,"Helicopter")/1000000000)</f>
        <v>0</v>
      </c>
      <c r="P50" s="61">
        <f>(SUMIFS('MAIN DATA, Orders'!$M:$M,'MAIN DATA, Orders'!$Q:$Q,$A50,'MAIN DATA, Orders'!$C:$C,"Germany",'MAIN DATA, Orders'!$G:$G,"Development - Helicopter")/1000000000)</f>
        <v>0</v>
      </c>
      <c r="Q50" s="61">
        <f>(SUMIFS('MAIN DATA, Orders'!$M:$M,'MAIN DATA, Orders'!$Q:$Q,$A50,'MAIN DATA, Orders'!$C:$C,"Germany",'MAIN DATA, Orders'!$G:$G,"Infantry")/1000000000)</f>
        <v>0</v>
      </c>
      <c r="R50" s="61">
        <f>(SUMIFS('MAIN DATA, Orders'!$M:$M,'MAIN DATA, Orders'!$Q:$Q,$A50,'MAIN DATA, Orders'!$C:$C,"Germany",'MAIN DATA, Orders'!$G:$G,"Development - Infantry")/1000000000)</f>
        <v>0</v>
      </c>
      <c r="S50" s="61">
        <f>(SUMIFS('MAIN DATA, Orders'!$M:$M,'MAIN DATA, Orders'!$Q:$Q,$A50,'MAIN DATA, Orders'!$C:$C,"Germany",'MAIN DATA, Orders'!$G:$G,"Tank")/1000000000)</f>
        <v>0</v>
      </c>
      <c r="T50" s="61">
        <f>(SUMIFS('MAIN DATA, Orders'!$M:$M,'MAIN DATA, Orders'!$Q:$Q,$A50,'MAIN DATA, Orders'!$C:$C,"Germany",'MAIN DATA, Orders'!$G:$G,"Development - Tank")/1000000000)</f>
        <v>0</v>
      </c>
      <c r="U50" s="61">
        <f>(SUMIFS('MAIN DATA, Orders'!$M:$M,'MAIN DATA, Orders'!$Q:$Q,$A50,'MAIN DATA, Orders'!$C:$C,"Germany",'MAIN DATA, Orders'!$G:$G,"Maintenance")/1000000000)</f>
        <v>0</v>
      </c>
      <c r="V50" s="61">
        <f>(SUMIFS('MAIN DATA, Orders'!$M:$M,'MAIN DATA, Orders'!$Q:$Q,$A50,'MAIN DATA, Orders'!$C:$C,"Germany",'MAIN DATA, Orders'!$G:$G,"Development - Maintenance")/1000000000)</f>
        <v>0</v>
      </c>
      <c r="W50" s="61">
        <f>(SUMIFS('MAIN DATA, Orders'!$M:$M,'MAIN DATA, Orders'!$Q:$Q,$A50,'MAIN DATA, Orders'!$C:$C,"Germany",'MAIN DATA, Orders'!$G:$G,"Mine")/1000000000)</f>
        <v>0</v>
      </c>
      <c r="X50" s="61">
        <f>(SUMIFS('MAIN DATA, Orders'!$M:$M,'MAIN DATA, Orders'!$Q:$Q,$A50,'MAIN DATA, Orders'!$C:$C,"Germany",'MAIN DATA, Orders'!$G:$G,"Development - Mine")/1000000000)</f>
        <v>0</v>
      </c>
      <c r="Y50" s="61">
        <f>(SUMIFS('MAIN DATA, Orders'!$M:$M,'MAIN DATA, Orders'!$Q:$Q,$A50,'MAIN DATA, Orders'!$C:$C,"Germany",'MAIN DATA, Orders'!$H:$H,"6")/1000000000)</f>
        <v>0</v>
      </c>
      <c r="Z50" s="61" cm="1">
        <f t="array" ref="Z50">SUM(SUMIFS('MAIN DATA, Orders'!$M:$M,'MAIN DATA, Orders'!$Q:$Q,$A50,'MAIN DATA, Orders'!$C:$C,"Germany",'MAIN DATA, Orders'!$G:$G,{"Development - Missile (Land)","Development - Missile (Naval)","Development - Missile (Air)"})/1000000000)</f>
        <v>0</v>
      </c>
      <c r="AA50" s="61">
        <f>(SUMIFS('MAIN DATA, Orders'!$M:$M,'MAIN DATA, Orders'!$Q:$Q,$A50,'MAIN DATA, Orders'!$C:$C,"Germany",'MAIN DATA, Orders'!$G:$G,"Modernisation")/1000000000)</f>
        <v>0</v>
      </c>
      <c r="AB50" s="61">
        <f>(SUMIFS('MAIN DATA, Orders'!$M:$M,'MAIN DATA, Orders'!$Q:$Q,$A50,'MAIN DATA, Orders'!$C:$C,"Germany",'MAIN DATA, Orders'!$G:$G,"Development - Modernisation")/1000000000)</f>
        <v>0</v>
      </c>
      <c r="AC50" s="61">
        <f>(SUMIFS('MAIN DATA, Orders'!$M:$M,'MAIN DATA, Orders'!$Q:$Q,$A50,'MAIN DATA, Orders'!$C:$C,"Germany",'MAIN DATA, Orders'!$G:$G,"Naval")/1000000000)</f>
        <v>0</v>
      </c>
      <c r="AD50" s="61">
        <f>(SUMIFS('MAIN DATA, Orders'!$M:$M,'MAIN DATA, Orders'!$Q:$Q,$A50,'MAIN DATA, Orders'!$C:$C,"Germany",'MAIN DATA, Orders'!$G:$G,"Development - Naval")/1000000000)</f>
        <v>0</v>
      </c>
      <c r="AE50" s="61">
        <f>(SUMIFS('MAIN DATA, Orders'!$M:$M,'MAIN DATA, Orders'!$Q:$Q,$A50,'MAIN DATA, Orders'!$C:$C,"Germany",'MAIN DATA, Orders'!$G:$G,"Other")/1000000000)</f>
        <v>0</v>
      </c>
      <c r="AF50" s="61">
        <f>(SUMIFS('MAIN DATA, Orders'!$M:$M,'MAIN DATA, Orders'!$Q:$Q,$A50,'MAIN DATA, Orders'!$C:$C,"Germany",'MAIN DATA, Orders'!$G:$G,"Development - Other")/1000000000)</f>
        <v>0</v>
      </c>
      <c r="AG50" s="61"/>
      <c r="AH50" s="61" cm="1">
        <f t="array" ref="AH50">SUM(SUMIFS('MAIN DATA, Orders'!$M:$M,'MAIN DATA, Orders'!$Q:$Q,$A50,'MAIN DATA, Orders'!$C:$C,"Germany",'MAIN DATA, Orders'!$G:$G,{"Missile (Land)","Development - Missile (Land)"})/1000000000)</f>
        <v>0</v>
      </c>
      <c r="AI50" s="61" cm="1">
        <f t="array" ref="AI50">SUM(SUMIFS('MAIN DATA, Orders'!$M:$M,'MAIN DATA, Orders'!$C:$C,"Germany",'MAIN DATA, Orders'!$G:$G,{"Missile (Air)","Development - Missile (Air)"},'MAIN DATA, Orders'!$Q:$Q,$A50)/1000000000)</f>
        <v>0</v>
      </c>
      <c r="AJ50" s="61" cm="1">
        <f t="array" ref="AJ50">SUM(SUMIFS('MAIN DATA, Orders'!$M:$M,'MAIN DATA, Orders'!$Q:$Q,$A50,'MAIN DATA, Orders'!$C:$C,"Germany",'MAIN DATA, Orders'!$G:$G,{"Missile (Naval)","Development - Missile (Naval)"})/1000000000)</f>
        <v>0</v>
      </c>
    </row>
    <row r="51" spans="1:36">
      <c r="A51" s="72">
        <v>45</v>
      </c>
      <c r="B51" s="68">
        <v>45170</v>
      </c>
      <c r="C51" s="61">
        <f>(SUMIFS('MAIN DATA, Orders'!$M:$M,'MAIN DATA, Orders'!$Q:$Q,$A51,'MAIN DATA, Orders'!$C:$C,"Germany",'MAIN DATA, Orders'!$G:$G,"Air defence system")/1000000000)</f>
        <v>0</v>
      </c>
      <c r="D51" s="61">
        <f>(SUMIFS('MAIN DATA, Orders'!$M:$M,'MAIN DATA, Orders'!$Q:$Q,$A51,'MAIN DATA, Orders'!$C:$C,"Germany",'MAIN DATA, Orders'!$G:$G,"Development - Air defence system")/1000000000)</f>
        <v>0</v>
      </c>
      <c r="E51" s="61">
        <f>(SUMIFS('MAIN DATA, Orders'!$M:$M,'MAIN DATA, Orders'!$Q:$Q,$A51,'MAIN DATA, Orders'!$C:$C,"Germany",'MAIN DATA, Orders'!$G:$G,"Aircraft")/1000000000)</f>
        <v>0</v>
      </c>
      <c r="F51" s="61">
        <f>(SUMIFS('MAIN DATA, Orders'!$M:$M,'MAIN DATA, Orders'!$Q:$Q,$A51,'MAIN DATA, Orders'!$C:$C,"Germany",'MAIN DATA, Orders'!$G:$G,"Development - Aircraft")/1000000000)</f>
        <v>0.19769999999999999</v>
      </c>
      <c r="G51" s="61">
        <f>(SUMIFS('MAIN DATA, Orders'!$M:$M,'MAIN DATA, Orders'!$Q:$Q,$A51,'MAIN DATA, Orders'!$C:$C,"Germany",'MAIN DATA, Orders'!$G:$G,"Ammunition")/1000000000)</f>
        <v>0</v>
      </c>
      <c r="H51" s="61">
        <f>(SUMIFS('MAIN DATA, Orders'!$M:$M,'MAIN DATA, Orders'!$Q:$Q,$A51,'MAIN DATA, Orders'!$C:$C,"Germany",'MAIN DATA, Orders'!$G:$G,"Development - Ammunition")/1000000000)</f>
        <v>0</v>
      </c>
      <c r="I51" s="61">
        <f>(SUMIFS('MAIN DATA, Orders'!$M:$M,'MAIN DATA, Orders'!$Q:$Q,$A51,'MAIN DATA, Orders'!$C:$C,"Germany",'MAIN DATA, Orders'!$G:$G,"Armoured vehicle")/1000000000)</f>
        <v>0</v>
      </c>
      <c r="J51" s="61">
        <f>(SUMIFS('MAIN DATA, Orders'!$M:$M,'MAIN DATA, Orders'!$Q:$Q,$A51,'MAIN DATA, Orders'!$C:$C,"Germany",'MAIN DATA, Orders'!$G:$G,"Development - Armoured vehicle")/1000000000)</f>
        <v>0</v>
      </c>
      <c r="K51" s="61">
        <f>(SUMIFS('MAIN DATA, Orders'!$M:$M,'MAIN DATA, Orders'!$Q:$Q,$A51,'MAIN DATA, Orders'!$C:$C,"Germany",'MAIN DATA, Orders'!$G:$G,"Artillery")/1000000000)</f>
        <v>0</v>
      </c>
      <c r="L51" s="61">
        <f>(SUMIFS('MAIN DATA, Orders'!$M:$M,'MAIN DATA, Orders'!$Q:$Q,$A51,'MAIN DATA, Orders'!$C:$C,"Germany",'MAIN DATA, Orders'!$G:$G,"Development - Artillery")/1000000000)</f>
        <v>0</v>
      </c>
      <c r="M51" s="61">
        <f>(SUMIFS('MAIN DATA, Orders'!$M:$M,'MAIN DATA, Orders'!$Q:$Q,$A51,'MAIN DATA, Orders'!$C:$C,"Germany",'MAIN DATA, Orders'!$G:$G,"Drone")/1000000000)</f>
        <v>0.23860000000000001</v>
      </c>
      <c r="N51" s="61">
        <f>(SUMIFS('MAIN DATA, Orders'!$M:$M,'MAIN DATA, Orders'!$Q:$Q,$A51,'MAIN DATA, Orders'!$C:$C,"Germany",'MAIN DATA, Orders'!$G:$G,"Development - Drone")/1000000000)</f>
        <v>0</v>
      </c>
      <c r="O51" s="61">
        <f>(SUMIFS('MAIN DATA, Orders'!$M:$M,'MAIN DATA, Orders'!$Q:$Q,$A51,'MAIN DATA, Orders'!$C:$C,"Germany",'MAIN DATA, Orders'!$G:$G,"Helicopter")/1000000000)</f>
        <v>0</v>
      </c>
      <c r="P51" s="61">
        <f>(SUMIFS('MAIN DATA, Orders'!$M:$M,'MAIN DATA, Orders'!$Q:$Q,$A51,'MAIN DATA, Orders'!$C:$C,"Germany",'MAIN DATA, Orders'!$G:$G,"Development - Helicopter")/1000000000)</f>
        <v>0</v>
      </c>
      <c r="Q51" s="61">
        <f>(SUMIFS('MAIN DATA, Orders'!$M:$M,'MAIN DATA, Orders'!$Q:$Q,$A51,'MAIN DATA, Orders'!$C:$C,"Germany",'MAIN DATA, Orders'!$G:$G,"Infantry")/1000000000)</f>
        <v>0</v>
      </c>
      <c r="R51" s="61">
        <f>(SUMIFS('MAIN DATA, Orders'!$M:$M,'MAIN DATA, Orders'!$Q:$Q,$A51,'MAIN DATA, Orders'!$C:$C,"Germany",'MAIN DATA, Orders'!$G:$G,"Development - Infantry")/1000000000)</f>
        <v>0</v>
      </c>
      <c r="S51" s="61">
        <f>(SUMIFS('MAIN DATA, Orders'!$M:$M,'MAIN DATA, Orders'!$Q:$Q,$A51,'MAIN DATA, Orders'!$C:$C,"Germany",'MAIN DATA, Orders'!$G:$G,"Tank")/1000000000)</f>
        <v>0</v>
      </c>
      <c r="T51" s="61">
        <f>(SUMIFS('MAIN DATA, Orders'!$M:$M,'MAIN DATA, Orders'!$Q:$Q,$A51,'MAIN DATA, Orders'!$C:$C,"Germany",'MAIN DATA, Orders'!$G:$G,"Development - Tank")/1000000000)</f>
        <v>0</v>
      </c>
      <c r="U51" s="61">
        <f>(SUMIFS('MAIN DATA, Orders'!$M:$M,'MAIN DATA, Orders'!$Q:$Q,$A51,'MAIN DATA, Orders'!$C:$C,"Germany",'MAIN DATA, Orders'!$G:$G,"Maintenance")/1000000000)</f>
        <v>0</v>
      </c>
      <c r="V51" s="61">
        <f>(SUMIFS('MAIN DATA, Orders'!$M:$M,'MAIN DATA, Orders'!$Q:$Q,$A51,'MAIN DATA, Orders'!$C:$C,"Germany",'MAIN DATA, Orders'!$G:$G,"Development - Maintenance")/1000000000)</f>
        <v>0</v>
      </c>
      <c r="W51" s="61">
        <f>(SUMIFS('MAIN DATA, Orders'!$M:$M,'MAIN DATA, Orders'!$Q:$Q,$A51,'MAIN DATA, Orders'!$C:$C,"Germany",'MAIN DATA, Orders'!$G:$G,"Mine")/1000000000)</f>
        <v>0</v>
      </c>
      <c r="X51" s="61">
        <f>(SUMIFS('MAIN DATA, Orders'!$M:$M,'MAIN DATA, Orders'!$Q:$Q,$A51,'MAIN DATA, Orders'!$C:$C,"Germany",'MAIN DATA, Orders'!$G:$G,"Development - Mine")/1000000000)</f>
        <v>0</v>
      </c>
      <c r="Y51" s="61">
        <f>(SUMIFS('MAIN DATA, Orders'!$M:$M,'MAIN DATA, Orders'!$Q:$Q,$A51,'MAIN DATA, Orders'!$C:$C,"Germany",'MAIN DATA, Orders'!$H:$H,"6")/1000000000)</f>
        <v>0</v>
      </c>
      <c r="Z51" s="61" cm="1">
        <f t="array" ref="Z51">SUM(SUMIFS('MAIN DATA, Orders'!$M:$M,'MAIN DATA, Orders'!$Q:$Q,$A51,'MAIN DATA, Orders'!$C:$C,"Germany",'MAIN DATA, Orders'!$G:$G,{"Development - Missile (Land)","Development - Missile (Naval)","Development - Missile (Air)"})/1000000000)</f>
        <v>0</v>
      </c>
      <c r="AA51" s="61">
        <f>(SUMIFS('MAIN DATA, Orders'!$M:$M,'MAIN DATA, Orders'!$Q:$Q,$A51,'MAIN DATA, Orders'!$C:$C,"Germany",'MAIN DATA, Orders'!$G:$G,"Modernisation")/1000000000)</f>
        <v>0</v>
      </c>
      <c r="AB51" s="61">
        <f>(SUMIFS('MAIN DATA, Orders'!$M:$M,'MAIN DATA, Orders'!$Q:$Q,$A51,'MAIN DATA, Orders'!$C:$C,"Germany",'MAIN DATA, Orders'!$G:$G,"Development - Modernisation")/1000000000)</f>
        <v>0</v>
      </c>
      <c r="AC51" s="61">
        <f>(SUMIFS('MAIN DATA, Orders'!$M:$M,'MAIN DATA, Orders'!$Q:$Q,$A51,'MAIN DATA, Orders'!$C:$C,"Germany",'MAIN DATA, Orders'!$G:$G,"Naval")/1000000000)</f>
        <v>0</v>
      </c>
      <c r="AD51" s="61">
        <f>(SUMIFS('MAIN DATA, Orders'!$M:$M,'MAIN DATA, Orders'!$Q:$Q,$A51,'MAIN DATA, Orders'!$C:$C,"Germany",'MAIN DATA, Orders'!$G:$G,"Development - Naval")/1000000000)</f>
        <v>0</v>
      </c>
      <c r="AE51" s="61">
        <f>(SUMIFS('MAIN DATA, Orders'!$M:$M,'MAIN DATA, Orders'!$Q:$Q,$A51,'MAIN DATA, Orders'!$C:$C,"Germany",'MAIN DATA, Orders'!$G:$G,"Other")/1000000000)</f>
        <v>0</v>
      </c>
      <c r="AF51" s="61">
        <f>(SUMIFS('MAIN DATA, Orders'!$M:$M,'MAIN DATA, Orders'!$Q:$Q,$A51,'MAIN DATA, Orders'!$C:$C,"Germany",'MAIN DATA, Orders'!$G:$G,"Development - Other")/1000000000)</f>
        <v>0</v>
      </c>
      <c r="AG51" s="61"/>
      <c r="AH51" s="61" cm="1">
        <f t="array" ref="AH51">SUM(SUMIFS('MAIN DATA, Orders'!$M:$M,'MAIN DATA, Orders'!$Q:$Q,$A51,'MAIN DATA, Orders'!$C:$C,"Germany",'MAIN DATA, Orders'!$G:$G,{"Missile (Land)","Development - Missile (Land)"})/1000000000)</f>
        <v>0</v>
      </c>
      <c r="AI51" s="61" cm="1">
        <f t="array" ref="AI51">SUM(SUMIFS('MAIN DATA, Orders'!$M:$M,'MAIN DATA, Orders'!$C:$C,"Germany",'MAIN DATA, Orders'!$G:$G,{"Missile (Air)","Development - Missile (Air)"},'MAIN DATA, Orders'!$Q:$Q,$A51)/1000000000)</f>
        <v>0</v>
      </c>
      <c r="AJ51" s="61" cm="1">
        <f t="array" ref="AJ51">SUM(SUMIFS('MAIN DATA, Orders'!$M:$M,'MAIN DATA, Orders'!$Q:$Q,$A51,'MAIN DATA, Orders'!$C:$C,"Germany",'MAIN DATA, Orders'!$G:$G,{"Missile (Naval)","Development - Missile (Naval)"})/1000000000)</f>
        <v>0</v>
      </c>
    </row>
    <row r="52" spans="1:36">
      <c r="A52" s="72">
        <v>46</v>
      </c>
      <c r="B52" s="68">
        <v>45200</v>
      </c>
      <c r="C52" s="61">
        <f>(SUMIFS('MAIN DATA, Orders'!$M:$M,'MAIN DATA, Orders'!$Q:$Q,$A52,'MAIN DATA, Orders'!$C:$C,"Germany",'MAIN DATA, Orders'!$G:$G,"Air defence system")/1000000000)</f>
        <v>4.0404999999999998</v>
      </c>
      <c r="D52" s="61">
        <f>(SUMIFS('MAIN DATA, Orders'!$M:$M,'MAIN DATA, Orders'!$Q:$Q,$A52,'MAIN DATA, Orders'!$C:$C,"Germany",'MAIN DATA, Orders'!$G:$G,"Development - Air defence system")/1000000000)</f>
        <v>0</v>
      </c>
      <c r="E52" s="61">
        <f>(SUMIFS('MAIN DATA, Orders'!$M:$M,'MAIN DATA, Orders'!$Q:$Q,$A52,'MAIN DATA, Orders'!$C:$C,"Germany",'MAIN DATA, Orders'!$G:$G,"Aircraft")/1000000000)</f>
        <v>0</v>
      </c>
      <c r="F52" s="61">
        <f>(SUMIFS('MAIN DATA, Orders'!$M:$M,'MAIN DATA, Orders'!$Q:$Q,$A52,'MAIN DATA, Orders'!$C:$C,"Germany",'MAIN DATA, Orders'!$G:$G,"Development - Aircraft")/1000000000)</f>
        <v>0</v>
      </c>
      <c r="G52" s="61">
        <f>(SUMIFS('MAIN DATA, Orders'!$M:$M,'MAIN DATA, Orders'!$Q:$Q,$A52,'MAIN DATA, Orders'!$C:$C,"Germany",'MAIN DATA, Orders'!$G:$G,"Ammunition")/1000000000)</f>
        <v>0</v>
      </c>
      <c r="H52" s="61">
        <f>(SUMIFS('MAIN DATA, Orders'!$M:$M,'MAIN DATA, Orders'!$Q:$Q,$A52,'MAIN DATA, Orders'!$C:$C,"Germany",'MAIN DATA, Orders'!$G:$G,"Development - Ammunition")/1000000000)</f>
        <v>0</v>
      </c>
      <c r="I52" s="61">
        <f>(SUMIFS('MAIN DATA, Orders'!$M:$M,'MAIN DATA, Orders'!$Q:$Q,$A52,'MAIN DATA, Orders'!$C:$C,"Germany",'MAIN DATA, Orders'!$G:$G,"Armoured vehicle")/1000000000)</f>
        <v>0</v>
      </c>
      <c r="J52" s="61">
        <f>(SUMIFS('MAIN DATA, Orders'!$M:$M,'MAIN DATA, Orders'!$Q:$Q,$A52,'MAIN DATA, Orders'!$C:$C,"Germany",'MAIN DATA, Orders'!$G:$G,"Development - Armoured vehicle")/1000000000)</f>
        <v>0</v>
      </c>
      <c r="K52" s="61">
        <f>(SUMIFS('MAIN DATA, Orders'!$M:$M,'MAIN DATA, Orders'!$Q:$Q,$A52,'MAIN DATA, Orders'!$C:$C,"Germany",'MAIN DATA, Orders'!$G:$G,"Artillery")/1000000000)</f>
        <v>0</v>
      </c>
      <c r="L52" s="61">
        <f>(SUMIFS('MAIN DATA, Orders'!$M:$M,'MAIN DATA, Orders'!$Q:$Q,$A52,'MAIN DATA, Orders'!$C:$C,"Germany",'MAIN DATA, Orders'!$G:$G,"Development - Artillery")/1000000000)</f>
        <v>0</v>
      </c>
      <c r="M52" s="61">
        <f>(SUMIFS('MAIN DATA, Orders'!$M:$M,'MAIN DATA, Orders'!$Q:$Q,$A52,'MAIN DATA, Orders'!$C:$C,"Germany",'MAIN DATA, Orders'!$G:$G,"Drone")/1000000000)</f>
        <v>5.2499999999999998E-2</v>
      </c>
      <c r="N52" s="61">
        <f>(SUMIFS('MAIN DATA, Orders'!$M:$M,'MAIN DATA, Orders'!$Q:$Q,$A52,'MAIN DATA, Orders'!$C:$C,"Germany",'MAIN DATA, Orders'!$G:$G,"Development - Drone")/1000000000)</f>
        <v>0</v>
      </c>
      <c r="O52" s="61">
        <f>(SUMIFS('MAIN DATA, Orders'!$M:$M,'MAIN DATA, Orders'!$Q:$Q,$A52,'MAIN DATA, Orders'!$C:$C,"Germany",'MAIN DATA, Orders'!$G:$G,"Helicopter")/1000000000)</f>
        <v>0</v>
      </c>
      <c r="P52" s="61">
        <f>(SUMIFS('MAIN DATA, Orders'!$M:$M,'MAIN DATA, Orders'!$Q:$Q,$A52,'MAIN DATA, Orders'!$C:$C,"Germany",'MAIN DATA, Orders'!$G:$G,"Development - Helicopter")/1000000000)</f>
        <v>0</v>
      </c>
      <c r="Q52" s="61">
        <f>(SUMIFS('MAIN DATA, Orders'!$M:$M,'MAIN DATA, Orders'!$Q:$Q,$A52,'MAIN DATA, Orders'!$C:$C,"Germany",'MAIN DATA, Orders'!$G:$G,"Infantry")/1000000000)</f>
        <v>0</v>
      </c>
      <c r="R52" s="61">
        <f>(SUMIFS('MAIN DATA, Orders'!$M:$M,'MAIN DATA, Orders'!$Q:$Q,$A52,'MAIN DATA, Orders'!$C:$C,"Germany",'MAIN DATA, Orders'!$G:$G,"Development - Infantry")/1000000000)</f>
        <v>0</v>
      </c>
      <c r="S52" s="61">
        <f>(SUMIFS('MAIN DATA, Orders'!$M:$M,'MAIN DATA, Orders'!$Q:$Q,$A52,'MAIN DATA, Orders'!$C:$C,"Germany",'MAIN DATA, Orders'!$G:$G,"Tank")/1000000000)</f>
        <v>0</v>
      </c>
      <c r="T52" s="61">
        <f>(SUMIFS('MAIN DATA, Orders'!$M:$M,'MAIN DATA, Orders'!$Q:$Q,$A52,'MAIN DATA, Orders'!$C:$C,"Germany",'MAIN DATA, Orders'!$G:$G,"Development - Tank")/1000000000)</f>
        <v>0</v>
      </c>
      <c r="U52" s="61">
        <f>(SUMIFS('MAIN DATA, Orders'!$M:$M,'MAIN DATA, Orders'!$Q:$Q,$A52,'MAIN DATA, Orders'!$C:$C,"Germany",'MAIN DATA, Orders'!$G:$G,"Maintenance")/1000000000)</f>
        <v>0</v>
      </c>
      <c r="V52" s="61">
        <f>(SUMIFS('MAIN DATA, Orders'!$M:$M,'MAIN DATA, Orders'!$Q:$Q,$A52,'MAIN DATA, Orders'!$C:$C,"Germany",'MAIN DATA, Orders'!$G:$G,"Development - Maintenance")/1000000000)</f>
        <v>0</v>
      </c>
      <c r="W52" s="61">
        <f>(SUMIFS('MAIN DATA, Orders'!$M:$M,'MAIN DATA, Orders'!$Q:$Q,$A52,'MAIN DATA, Orders'!$C:$C,"Germany",'MAIN DATA, Orders'!$G:$G,"Mine")/1000000000)</f>
        <v>6.8000000000000005E-2</v>
      </c>
      <c r="X52" s="61">
        <f>(SUMIFS('MAIN DATA, Orders'!$M:$M,'MAIN DATA, Orders'!$Q:$Q,$A52,'MAIN DATA, Orders'!$C:$C,"Germany",'MAIN DATA, Orders'!$G:$G,"Development - Mine")/1000000000)</f>
        <v>0</v>
      </c>
      <c r="Y52" s="61">
        <f>(SUMIFS('MAIN DATA, Orders'!$M:$M,'MAIN DATA, Orders'!$Q:$Q,$A52,'MAIN DATA, Orders'!$C:$C,"Germany",'MAIN DATA, Orders'!$H:$H,"6")/1000000000)</f>
        <v>0</v>
      </c>
      <c r="Z52" s="61" cm="1">
        <f t="array" ref="Z52">SUM(SUMIFS('MAIN DATA, Orders'!$M:$M,'MAIN DATA, Orders'!$Q:$Q,$A52,'MAIN DATA, Orders'!$C:$C,"Germany",'MAIN DATA, Orders'!$G:$G,{"Development - Missile (Land)","Development - Missile (Naval)","Development - Missile (Air)"})/1000000000)</f>
        <v>0</v>
      </c>
      <c r="AA52" s="61">
        <f>(SUMIFS('MAIN DATA, Orders'!$M:$M,'MAIN DATA, Orders'!$Q:$Q,$A52,'MAIN DATA, Orders'!$C:$C,"Germany",'MAIN DATA, Orders'!$G:$G,"Modernisation")/1000000000)</f>
        <v>0.2515</v>
      </c>
      <c r="AB52" s="61">
        <f>(SUMIFS('MAIN DATA, Orders'!$M:$M,'MAIN DATA, Orders'!$Q:$Q,$A52,'MAIN DATA, Orders'!$C:$C,"Germany",'MAIN DATA, Orders'!$G:$G,"Development - Modernisation")/1000000000)</f>
        <v>0</v>
      </c>
      <c r="AC52" s="61">
        <f>(SUMIFS('MAIN DATA, Orders'!$M:$M,'MAIN DATA, Orders'!$Q:$Q,$A52,'MAIN DATA, Orders'!$C:$C,"Germany",'MAIN DATA, Orders'!$G:$G,"Naval")/1000000000)</f>
        <v>0</v>
      </c>
      <c r="AD52" s="61">
        <f>(SUMIFS('MAIN DATA, Orders'!$M:$M,'MAIN DATA, Orders'!$Q:$Q,$A52,'MAIN DATA, Orders'!$C:$C,"Germany",'MAIN DATA, Orders'!$G:$G,"Development - Naval")/1000000000)</f>
        <v>0</v>
      </c>
      <c r="AE52" s="61">
        <f>(SUMIFS('MAIN DATA, Orders'!$M:$M,'MAIN DATA, Orders'!$Q:$Q,$A52,'MAIN DATA, Orders'!$C:$C,"Germany",'MAIN DATA, Orders'!$G:$G,"Other")/1000000000)</f>
        <v>0</v>
      </c>
      <c r="AF52" s="61">
        <f>(SUMIFS('MAIN DATA, Orders'!$M:$M,'MAIN DATA, Orders'!$Q:$Q,$A52,'MAIN DATA, Orders'!$C:$C,"Germany",'MAIN DATA, Orders'!$G:$G,"Development - Other")/1000000000)</f>
        <v>0</v>
      </c>
      <c r="AG52" s="61"/>
      <c r="AH52" s="61" cm="1">
        <f t="array" ref="AH52">SUM(SUMIFS('MAIN DATA, Orders'!$M:$M,'MAIN DATA, Orders'!$Q:$Q,$A52,'MAIN DATA, Orders'!$C:$C,"Germany",'MAIN DATA, Orders'!$G:$G,{"Missile (Land)","Development - Missile (Land)"})/1000000000)</f>
        <v>0</v>
      </c>
      <c r="AI52" s="61" cm="1">
        <f t="array" ref="AI52">SUM(SUMIFS('MAIN DATA, Orders'!$M:$M,'MAIN DATA, Orders'!$C:$C,"Germany",'MAIN DATA, Orders'!$G:$G,{"Missile (Air)","Development - Missile (Air)"},'MAIN DATA, Orders'!$Q:$Q,$A52)/1000000000)</f>
        <v>0</v>
      </c>
      <c r="AJ52" s="61" cm="1">
        <f t="array" ref="AJ52">SUM(SUMIFS('MAIN DATA, Orders'!$M:$M,'MAIN DATA, Orders'!$Q:$Q,$A52,'MAIN DATA, Orders'!$C:$C,"Germany",'MAIN DATA, Orders'!$G:$G,{"Missile (Naval)","Development - Missile (Naval)"})/1000000000)</f>
        <v>0</v>
      </c>
    </row>
    <row r="53" spans="1:36">
      <c r="A53" s="72">
        <v>47</v>
      </c>
      <c r="B53" s="68">
        <v>45231</v>
      </c>
      <c r="C53" s="61">
        <f>(SUMIFS('MAIN DATA, Orders'!$M:$M,'MAIN DATA, Orders'!$Q:$Q,$A53,'MAIN DATA, Orders'!$C:$C,"Germany",'MAIN DATA, Orders'!$G:$G,"Air defence system")/1000000000)</f>
        <v>0</v>
      </c>
      <c r="D53" s="61">
        <f>(SUMIFS('MAIN DATA, Orders'!$M:$M,'MAIN DATA, Orders'!$Q:$Q,$A53,'MAIN DATA, Orders'!$C:$C,"Germany",'MAIN DATA, Orders'!$G:$G,"Development - Air defence system")/1000000000)</f>
        <v>0</v>
      </c>
      <c r="E53" s="61">
        <f>(SUMIFS('MAIN DATA, Orders'!$M:$M,'MAIN DATA, Orders'!$Q:$Q,$A53,'MAIN DATA, Orders'!$C:$C,"Germany",'MAIN DATA, Orders'!$G:$G,"Aircraft")/1000000000)</f>
        <v>4.9299999999999997E-2</v>
      </c>
      <c r="F53" s="61">
        <f>(SUMIFS('MAIN DATA, Orders'!$M:$M,'MAIN DATA, Orders'!$Q:$Q,$A53,'MAIN DATA, Orders'!$C:$C,"Germany",'MAIN DATA, Orders'!$G:$G,"Development - Aircraft")/1000000000)</f>
        <v>0</v>
      </c>
      <c r="G53" s="61">
        <f>(SUMIFS('MAIN DATA, Orders'!$M:$M,'MAIN DATA, Orders'!$Q:$Q,$A53,'MAIN DATA, Orders'!$C:$C,"Germany",'MAIN DATA, Orders'!$G:$G,"Ammunition")/1000000000)</f>
        <v>0</v>
      </c>
      <c r="H53" s="61">
        <f>(SUMIFS('MAIN DATA, Orders'!$M:$M,'MAIN DATA, Orders'!$Q:$Q,$A53,'MAIN DATA, Orders'!$C:$C,"Germany",'MAIN DATA, Orders'!$G:$G,"Development - Ammunition")/1000000000)</f>
        <v>0</v>
      </c>
      <c r="I53" s="61">
        <f>(SUMIFS('MAIN DATA, Orders'!$M:$M,'MAIN DATA, Orders'!$Q:$Q,$A53,'MAIN DATA, Orders'!$C:$C,"Germany",'MAIN DATA, Orders'!$G:$G,"Armoured vehicle")/1000000000)</f>
        <v>0.15</v>
      </c>
      <c r="J53" s="61">
        <f>(SUMIFS('MAIN DATA, Orders'!$M:$M,'MAIN DATA, Orders'!$Q:$Q,$A53,'MAIN DATA, Orders'!$C:$C,"Germany",'MAIN DATA, Orders'!$G:$G,"Development - Armoured vehicle")/1000000000)</f>
        <v>0</v>
      </c>
      <c r="K53" s="61">
        <f>(SUMIFS('MAIN DATA, Orders'!$M:$M,'MAIN DATA, Orders'!$Q:$Q,$A53,'MAIN DATA, Orders'!$C:$C,"Germany",'MAIN DATA, Orders'!$G:$G,"Artillery")/1000000000)</f>
        <v>0</v>
      </c>
      <c r="L53" s="61">
        <f>(SUMIFS('MAIN DATA, Orders'!$M:$M,'MAIN DATA, Orders'!$Q:$Q,$A53,'MAIN DATA, Orders'!$C:$C,"Germany",'MAIN DATA, Orders'!$G:$G,"Development - Artillery")/1000000000)</f>
        <v>0</v>
      </c>
      <c r="M53" s="61">
        <f>(SUMIFS('MAIN DATA, Orders'!$M:$M,'MAIN DATA, Orders'!$Q:$Q,$A53,'MAIN DATA, Orders'!$C:$C,"Germany",'MAIN DATA, Orders'!$G:$G,"Drone")/1000000000)</f>
        <v>5.8999999999999997E-2</v>
      </c>
      <c r="N53" s="61">
        <f>(SUMIFS('MAIN DATA, Orders'!$M:$M,'MAIN DATA, Orders'!$Q:$Q,$A53,'MAIN DATA, Orders'!$C:$C,"Germany",'MAIN DATA, Orders'!$G:$G,"Development - Drone")/1000000000)</f>
        <v>0</v>
      </c>
      <c r="O53" s="61">
        <f>(SUMIFS('MAIN DATA, Orders'!$M:$M,'MAIN DATA, Orders'!$Q:$Q,$A53,'MAIN DATA, Orders'!$C:$C,"Germany",'MAIN DATA, Orders'!$G:$G,"Helicopter")/1000000000)</f>
        <v>0</v>
      </c>
      <c r="P53" s="61">
        <f>(SUMIFS('MAIN DATA, Orders'!$M:$M,'MAIN DATA, Orders'!$Q:$Q,$A53,'MAIN DATA, Orders'!$C:$C,"Germany",'MAIN DATA, Orders'!$G:$G,"Development - Helicopter")/1000000000)</f>
        <v>0</v>
      </c>
      <c r="Q53" s="61">
        <f>(SUMIFS('MAIN DATA, Orders'!$M:$M,'MAIN DATA, Orders'!$Q:$Q,$A53,'MAIN DATA, Orders'!$C:$C,"Germany",'MAIN DATA, Orders'!$G:$G,"Infantry")/1000000000)</f>
        <v>0</v>
      </c>
      <c r="R53" s="61">
        <f>(SUMIFS('MAIN DATA, Orders'!$M:$M,'MAIN DATA, Orders'!$Q:$Q,$A53,'MAIN DATA, Orders'!$C:$C,"Germany",'MAIN DATA, Orders'!$G:$G,"Development - Infantry")/1000000000)</f>
        <v>0</v>
      </c>
      <c r="S53" s="61">
        <f>(SUMIFS('MAIN DATA, Orders'!$M:$M,'MAIN DATA, Orders'!$Q:$Q,$A53,'MAIN DATA, Orders'!$C:$C,"Germany",'MAIN DATA, Orders'!$G:$G,"Tank")/1000000000)</f>
        <v>0.192</v>
      </c>
      <c r="T53" s="61">
        <f>(SUMIFS('MAIN DATA, Orders'!$M:$M,'MAIN DATA, Orders'!$Q:$Q,$A53,'MAIN DATA, Orders'!$C:$C,"Germany",'MAIN DATA, Orders'!$G:$G,"Development - Tank")/1000000000)</f>
        <v>0</v>
      </c>
      <c r="U53" s="61">
        <f>(SUMIFS('MAIN DATA, Orders'!$M:$M,'MAIN DATA, Orders'!$Q:$Q,$A53,'MAIN DATA, Orders'!$C:$C,"Germany",'MAIN DATA, Orders'!$G:$G,"Maintenance")/1000000000)</f>
        <v>13.4</v>
      </c>
      <c r="V53" s="61">
        <f>(SUMIFS('MAIN DATA, Orders'!$M:$M,'MAIN DATA, Orders'!$Q:$Q,$A53,'MAIN DATA, Orders'!$C:$C,"Germany",'MAIN DATA, Orders'!$G:$G,"Development - Maintenance")/1000000000)</f>
        <v>0</v>
      </c>
      <c r="W53" s="61">
        <f>(SUMIFS('MAIN DATA, Orders'!$M:$M,'MAIN DATA, Orders'!$Q:$Q,$A53,'MAIN DATA, Orders'!$C:$C,"Germany",'MAIN DATA, Orders'!$G:$G,"Mine")/1000000000)</f>
        <v>0</v>
      </c>
      <c r="X53" s="61">
        <f>(SUMIFS('MAIN DATA, Orders'!$M:$M,'MAIN DATA, Orders'!$Q:$Q,$A53,'MAIN DATA, Orders'!$C:$C,"Germany",'MAIN DATA, Orders'!$G:$G,"Development - Mine")/1000000000)</f>
        <v>0</v>
      </c>
      <c r="Y53" s="61">
        <f>(SUMIFS('MAIN DATA, Orders'!$M:$M,'MAIN DATA, Orders'!$Q:$Q,$A53,'MAIN DATA, Orders'!$C:$C,"Germany",'MAIN DATA, Orders'!$H:$H,"6")/1000000000)</f>
        <v>0</v>
      </c>
      <c r="Z53" s="61" cm="1">
        <f t="array" ref="Z53">SUM(SUMIFS('MAIN DATA, Orders'!$M:$M,'MAIN DATA, Orders'!$Q:$Q,$A53,'MAIN DATA, Orders'!$C:$C,"Germany",'MAIN DATA, Orders'!$G:$G,{"Development - Missile (Land)","Development - Missile (Naval)","Development - Missile (Air)"})/1000000000)</f>
        <v>0</v>
      </c>
      <c r="AA53" s="61">
        <f>(SUMIFS('MAIN DATA, Orders'!$M:$M,'MAIN DATA, Orders'!$Q:$Q,$A53,'MAIN DATA, Orders'!$C:$C,"Germany",'MAIN DATA, Orders'!$G:$G,"Modernisation")/1000000000)</f>
        <v>0</v>
      </c>
      <c r="AB53" s="61">
        <f>(SUMIFS('MAIN DATA, Orders'!$M:$M,'MAIN DATA, Orders'!$Q:$Q,$A53,'MAIN DATA, Orders'!$C:$C,"Germany",'MAIN DATA, Orders'!$G:$G,"Development - Modernisation")/1000000000)</f>
        <v>0</v>
      </c>
      <c r="AC53" s="61">
        <f>(SUMIFS('MAIN DATA, Orders'!$M:$M,'MAIN DATA, Orders'!$Q:$Q,$A53,'MAIN DATA, Orders'!$C:$C,"Germany",'MAIN DATA, Orders'!$G:$G,"Naval")/1000000000)</f>
        <v>1.1000000000000001</v>
      </c>
      <c r="AD53" s="61">
        <f>(SUMIFS('MAIN DATA, Orders'!$M:$M,'MAIN DATA, Orders'!$Q:$Q,$A53,'MAIN DATA, Orders'!$C:$C,"Germany",'MAIN DATA, Orders'!$G:$G,"Development - Naval")/1000000000)</f>
        <v>0</v>
      </c>
      <c r="AE53" s="61">
        <f>(SUMIFS('MAIN DATA, Orders'!$M:$M,'MAIN DATA, Orders'!$Q:$Q,$A53,'MAIN DATA, Orders'!$C:$C,"Germany",'MAIN DATA, Orders'!$G:$G,"Other")/1000000000)</f>
        <v>0</v>
      </c>
      <c r="AF53" s="61">
        <f>(SUMIFS('MAIN DATA, Orders'!$M:$M,'MAIN DATA, Orders'!$Q:$Q,$A53,'MAIN DATA, Orders'!$C:$C,"Germany",'MAIN DATA, Orders'!$G:$G,"Development - Other")/1000000000)</f>
        <v>0</v>
      </c>
      <c r="AG53" s="61"/>
      <c r="AH53" s="61" cm="1">
        <f t="array" ref="AH53">SUM(SUMIFS('MAIN DATA, Orders'!$M:$M,'MAIN DATA, Orders'!$Q:$Q,$A53,'MAIN DATA, Orders'!$C:$C,"Germany",'MAIN DATA, Orders'!$G:$G,{"Missile (Land)","Development - Missile (Land)"})/1000000000)</f>
        <v>0</v>
      </c>
      <c r="AI53" s="61" cm="1">
        <f t="array" ref="AI53">SUM(SUMIFS('MAIN DATA, Orders'!$M:$M,'MAIN DATA, Orders'!$C:$C,"Germany",'MAIN DATA, Orders'!$G:$G,{"Missile (Air)","Development - Missile (Air)"},'MAIN DATA, Orders'!$Q:$Q,$A53)/1000000000)</f>
        <v>0</v>
      </c>
      <c r="AJ53" s="61" cm="1">
        <f t="array" ref="AJ53">SUM(SUMIFS('MAIN DATA, Orders'!$M:$M,'MAIN DATA, Orders'!$Q:$Q,$A53,'MAIN DATA, Orders'!$C:$C,"Germany",'MAIN DATA, Orders'!$G:$G,{"Missile (Naval)","Development - Missile (Naval)"})/1000000000)</f>
        <v>0</v>
      </c>
    </row>
    <row r="54" spans="1:36">
      <c r="A54" s="72">
        <v>48</v>
      </c>
      <c r="B54" s="68">
        <v>45261</v>
      </c>
      <c r="C54" s="61">
        <f>(SUMIFS('MAIN DATA, Orders'!$M:$M,'MAIN DATA, Orders'!$Q:$Q,$A54,'MAIN DATA, Orders'!$C:$C,"Germany",'MAIN DATA, Orders'!$G:$G,"Air defence system")/1000000000)</f>
        <v>0</v>
      </c>
      <c r="D54" s="61">
        <f>(SUMIFS('MAIN DATA, Orders'!$M:$M,'MAIN DATA, Orders'!$Q:$Q,$A54,'MAIN DATA, Orders'!$C:$C,"Germany",'MAIN DATA, Orders'!$G:$G,"Development - Air defence system")/1000000000)</f>
        <v>0</v>
      </c>
      <c r="E54" s="61">
        <f>(SUMIFS('MAIN DATA, Orders'!$M:$M,'MAIN DATA, Orders'!$Q:$Q,$A54,'MAIN DATA, Orders'!$C:$C,"Germany",'MAIN DATA, Orders'!$G:$G,"Aircraft")/1000000000)</f>
        <v>0</v>
      </c>
      <c r="F54" s="61">
        <f>(SUMIFS('MAIN DATA, Orders'!$M:$M,'MAIN DATA, Orders'!$Q:$Q,$A54,'MAIN DATA, Orders'!$C:$C,"Germany",'MAIN DATA, Orders'!$G:$G,"Development - Aircraft")/1000000000)</f>
        <v>0</v>
      </c>
      <c r="G54" s="61">
        <f>(SUMIFS('MAIN DATA, Orders'!$M:$M,'MAIN DATA, Orders'!$Q:$Q,$A54,'MAIN DATA, Orders'!$C:$C,"Germany",'MAIN DATA, Orders'!$G:$G,"Ammunition")/1000000000)</f>
        <v>0.27800000000000002</v>
      </c>
      <c r="H54" s="61">
        <f>(SUMIFS('MAIN DATA, Orders'!$M:$M,'MAIN DATA, Orders'!$Q:$Q,$A54,'MAIN DATA, Orders'!$C:$C,"Germany",'MAIN DATA, Orders'!$G:$G,"Development - Ammunition")/1000000000)</f>
        <v>0</v>
      </c>
      <c r="I54" s="61">
        <f>(SUMIFS('MAIN DATA, Orders'!$M:$M,'MAIN DATA, Orders'!$Q:$Q,$A54,'MAIN DATA, Orders'!$C:$C,"Germany",'MAIN DATA, Orders'!$G:$G,"Armoured vehicle")/1000000000)</f>
        <v>6.4000000000000001E-2</v>
      </c>
      <c r="J54" s="61">
        <f>(SUMIFS('MAIN DATA, Orders'!$M:$M,'MAIN DATA, Orders'!$Q:$Q,$A54,'MAIN DATA, Orders'!$C:$C,"Germany",'MAIN DATA, Orders'!$G:$G,"Development - Armoured vehicle")/1000000000)</f>
        <v>0</v>
      </c>
      <c r="K54" s="61">
        <f>(SUMIFS('MAIN DATA, Orders'!$M:$M,'MAIN DATA, Orders'!$Q:$Q,$A54,'MAIN DATA, Orders'!$C:$C,"Germany",'MAIN DATA, Orders'!$G:$G,"Artillery")/1000000000)</f>
        <v>0</v>
      </c>
      <c r="L54" s="61">
        <f>(SUMIFS('MAIN DATA, Orders'!$M:$M,'MAIN DATA, Orders'!$Q:$Q,$A54,'MAIN DATA, Orders'!$C:$C,"Germany",'MAIN DATA, Orders'!$G:$G,"Development - Artillery")/1000000000)</f>
        <v>0</v>
      </c>
      <c r="M54" s="61">
        <f>(SUMIFS('MAIN DATA, Orders'!$M:$M,'MAIN DATA, Orders'!$Q:$Q,$A54,'MAIN DATA, Orders'!$C:$C,"Germany",'MAIN DATA, Orders'!$G:$G,"Drone")/1000000000)</f>
        <v>0</v>
      </c>
      <c r="N54" s="61">
        <f>(SUMIFS('MAIN DATA, Orders'!$M:$M,'MAIN DATA, Orders'!$Q:$Q,$A54,'MAIN DATA, Orders'!$C:$C,"Germany",'MAIN DATA, Orders'!$G:$G,"Development - Drone")/1000000000)</f>
        <v>0</v>
      </c>
      <c r="O54" s="61">
        <f>(SUMIFS('MAIN DATA, Orders'!$M:$M,'MAIN DATA, Orders'!$Q:$Q,$A54,'MAIN DATA, Orders'!$C:$C,"Germany",'MAIN DATA, Orders'!$G:$G,"Helicopter")/1000000000)</f>
        <v>2.63</v>
      </c>
      <c r="P54" s="61">
        <f>(SUMIFS('MAIN DATA, Orders'!$M:$M,'MAIN DATA, Orders'!$Q:$Q,$A54,'MAIN DATA, Orders'!$C:$C,"Germany",'MAIN DATA, Orders'!$G:$G,"Development - Helicopter")/1000000000)</f>
        <v>0</v>
      </c>
      <c r="Q54" s="61">
        <f>(SUMIFS('MAIN DATA, Orders'!$M:$M,'MAIN DATA, Orders'!$Q:$Q,$A54,'MAIN DATA, Orders'!$C:$C,"Germany",'MAIN DATA, Orders'!$G:$G,"Infantry")/1000000000)</f>
        <v>0</v>
      </c>
      <c r="R54" s="61">
        <f>(SUMIFS('MAIN DATA, Orders'!$M:$M,'MAIN DATA, Orders'!$Q:$Q,$A54,'MAIN DATA, Orders'!$C:$C,"Germany",'MAIN DATA, Orders'!$G:$G,"Development - Infantry")/1000000000)</f>
        <v>0</v>
      </c>
      <c r="S54" s="61">
        <f>(SUMIFS('MAIN DATA, Orders'!$M:$M,'MAIN DATA, Orders'!$Q:$Q,$A54,'MAIN DATA, Orders'!$C:$C,"Germany",'MAIN DATA, Orders'!$G:$G,"Tank")/1000000000)</f>
        <v>0</v>
      </c>
      <c r="T54" s="61">
        <f>(SUMIFS('MAIN DATA, Orders'!$M:$M,'MAIN DATA, Orders'!$Q:$Q,$A54,'MAIN DATA, Orders'!$C:$C,"Germany",'MAIN DATA, Orders'!$G:$G,"Development - Tank")/1000000000)</f>
        <v>0</v>
      </c>
      <c r="U54" s="61">
        <f>(SUMIFS('MAIN DATA, Orders'!$M:$M,'MAIN DATA, Orders'!$Q:$Q,$A54,'MAIN DATA, Orders'!$C:$C,"Germany",'MAIN DATA, Orders'!$G:$G,"Maintenance")/1000000000)</f>
        <v>0</v>
      </c>
      <c r="V54" s="61">
        <f>(SUMIFS('MAIN DATA, Orders'!$M:$M,'MAIN DATA, Orders'!$Q:$Q,$A54,'MAIN DATA, Orders'!$C:$C,"Germany",'MAIN DATA, Orders'!$G:$G,"Development - Maintenance")/1000000000)</f>
        <v>0</v>
      </c>
      <c r="W54" s="61">
        <f>(SUMIFS('MAIN DATA, Orders'!$M:$M,'MAIN DATA, Orders'!$Q:$Q,$A54,'MAIN DATA, Orders'!$C:$C,"Germany",'MAIN DATA, Orders'!$G:$G,"Mine")/1000000000)</f>
        <v>0</v>
      </c>
      <c r="X54" s="61">
        <f>(SUMIFS('MAIN DATA, Orders'!$M:$M,'MAIN DATA, Orders'!$Q:$Q,$A54,'MAIN DATA, Orders'!$C:$C,"Germany",'MAIN DATA, Orders'!$G:$G,"Development - Mine")/1000000000)</f>
        <v>0</v>
      </c>
      <c r="Y54" s="61">
        <f>(SUMIFS('MAIN DATA, Orders'!$M:$M,'MAIN DATA, Orders'!$Q:$Q,$A54,'MAIN DATA, Orders'!$C:$C,"Germany",'MAIN DATA, Orders'!$H:$H,"6")/1000000000)</f>
        <v>3.11</v>
      </c>
      <c r="Z54" s="61" cm="1">
        <f t="array" ref="Z54">SUM(SUMIFS('MAIN DATA, Orders'!$M:$M,'MAIN DATA, Orders'!$Q:$Q,$A54,'MAIN DATA, Orders'!$C:$C,"Germany",'MAIN DATA, Orders'!$G:$G,{"Development - Missile (Land)","Development - Missile (Naval)","Development - Missile (Air)"})/1000000000)</f>
        <v>3.49E-2</v>
      </c>
      <c r="AA54" s="61">
        <f>(SUMIFS('MAIN DATA, Orders'!$M:$M,'MAIN DATA, Orders'!$Q:$Q,$A54,'MAIN DATA, Orders'!$C:$C,"Germany",'MAIN DATA, Orders'!$G:$G,"Modernisation")/1000000000)</f>
        <v>3.4779999999999998E-2</v>
      </c>
      <c r="AB54" s="61">
        <f>(SUMIFS('MAIN DATA, Orders'!$M:$M,'MAIN DATA, Orders'!$Q:$Q,$A54,'MAIN DATA, Orders'!$C:$C,"Germany",'MAIN DATA, Orders'!$G:$G,"Development - Modernisation")/1000000000)</f>
        <v>0</v>
      </c>
      <c r="AC54" s="61">
        <f>(SUMIFS('MAIN DATA, Orders'!$M:$M,'MAIN DATA, Orders'!$Q:$Q,$A54,'MAIN DATA, Orders'!$C:$C,"Germany",'MAIN DATA, Orders'!$G:$G,"Naval")/1000000000)</f>
        <v>9.98E-2</v>
      </c>
      <c r="AD54" s="61">
        <f>(SUMIFS('MAIN DATA, Orders'!$M:$M,'MAIN DATA, Orders'!$Q:$Q,$A54,'MAIN DATA, Orders'!$C:$C,"Germany",'MAIN DATA, Orders'!$G:$G,"Development - Naval")/1000000000)</f>
        <v>0</v>
      </c>
      <c r="AE54" s="61">
        <f>(SUMIFS('MAIN DATA, Orders'!$M:$M,'MAIN DATA, Orders'!$Q:$Q,$A54,'MAIN DATA, Orders'!$C:$C,"Germany",'MAIN DATA, Orders'!$G:$G,"Other")/1000000000)</f>
        <v>0</v>
      </c>
      <c r="AF54" s="61">
        <f>(SUMIFS('MAIN DATA, Orders'!$M:$M,'MAIN DATA, Orders'!$Q:$Q,$A54,'MAIN DATA, Orders'!$C:$C,"Germany",'MAIN DATA, Orders'!$G:$G,"Development - Other")/1000000000)</f>
        <v>0</v>
      </c>
      <c r="AG54" s="61"/>
      <c r="AH54" s="61" cm="1">
        <f t="array" ref="AH54">SUM(SUMIFS('MAIN DATA, Orders'!$M:$M,'MAIN DATA, Orders'!$Q:$Q,$A54,'MAIN DATA, Orders'!$C:$C,"Germany",'MAIN DATA, Orders'!$G:$G,{"Missile (Land)","Development - Missile (Land)"})/1000000000)</f>
        <v>3.0019999999999998</v>
      </c>
      <c r="AI54" s="61" cm="1">
        <f t="array" ref="AI54">SUM(SUMIFS('MAIN DATA, Orders'!$M:$M,'MAIN DATA, Orders'!$C:$C,"Germany",'MAIN DATA, Orders'!$G:$G,{"Missile (Air)","Development - Missile (Air)"},'MAIN DATA, Orders'!$Q:$Q,$A54)/1000000000)</f>
        <v>0.1429</v>
      </c>
      <c r="AJ54" s="61" cm="1">
        <f t="array" ref="AJ54">SUM(SUMIFS('MAIN DATA, Orders'!$M:$M,'MAIN DATA, Orders'!$Q:$Q,$A54,'MAIN DATA, Orders'!$C:$C,"Germany",'MAIN DATA, Orders'!$G:$G,{"Missile (Naval)","Development - Missile (Naval)"})/1000000000)</f>
        <v>0</v>
      </c>
    </row>
    <row r="55" spans="1:36">
      <c r="A55" s="72">
        <v>49</v>
      </c>
      <c r="B55" s="68">
        <v>45292</v>
      </c>
      <c r="C55" s="61">
        <f>(SUMIFS('MAIN DATA, Orders'!$M:$M,'MAIN DATA, Orders'!$Q:$Q,$A55,'MAIN DATA, Orders'!$C:$C,"Germany",'MAIN DATA, Orders'!$G:$G,"Air defence system")/1000000000)</f>
        <v>0</v>
      </c>
      <c r="D55" s="61">
        <f>(SUMIFS('MAIN DATA, Orders'!$M:$M,'MAIN DATA, Orders'!$Q:$Q,$A55,'MAIN DATA, Orders'!$C:$C,"Germany",'MAIN DATA, Orders'!$G:$G,"Development - Air defence system")/1000000000)</f>
        <v>1.23</v>
      </c>
      <c r="E55" s="61">
        <f>(SUMIFS('MAIN DATA, Orders'!$M:$M,'MAIN DATA, Orders'!$Q:$Q,$A55,'MAIN DATA, Orders'!$C:$C,"Germany",'MAIN DATA, Orders'!$G:$G,"Aircraft")/1000000000)</f>
        <v>0</v>
      </c>
      <c r="F55" s="61">
        <f>(SUMIFS('MAIN DATA, Orders'!$M:$M,'MAIN DATA, Orders'!$Q:$Q,$A55,'MAIN DATA, Orders'!$C:$C,"Germany",'MAIN DATA, Orders'!$G:$G,"Development - Aircraft")/1000000000)</f>
        <v>0</v>
      </c>
      <c r="G55" s="61">
        <f>(SUMIFS('MAIN DATA, Orders'!$M:$M,'MAIN DATA, Orders'!$Q:$Q,$A55,'MAIN DATA, Orders'!$C:$C,"Germany",'MAIN DATA, Orders'!$G:$G,"Ammunition")/1000000000)</f>
        <v>0</v>
      </c>
      <c r="H55" s="61">
        <f>(SUMIFS('MAIN DATA, Orders'!$M:$M,'MAIN DATA, Orders'!$Q:$Q,$A55,'MAIN DATA, Orders'!$C:$C,"Germany",'MAIN DATA, Orders'!$G:$G,"Development - Ammunition")/1000000000)</f>
        <v>0</v>
      </c>
      <c r="I55" s="61">
        <f>(SUMIFS('MAIN DATA, Orders'!$M:$M,'MAIN DATA, Orders'!$Q:$Q,$A55,'MAIN DATA, Orders'!$C:$C,"Germany",'MAIN DATA, Orders'!$G:$G,"Armoured vehicle")/1000000000)</f>
        <v>0</v>
      </c>
      <c r="J55" s="61">
        <f>(SUMIFS('MAIN DATA, Orders'!$M:$M,'MAIN DATA, Orders'!$Q:$Q,$A55,'MAIN DATA, Orders'!$C:$C,"Germany",'MAIN DATA, Orders'!$G:$G,"Development - Armoured vehicle")/1000000000)</f>
        <v>0</v>
      </c>
      <c r="K55" s="61">
        <f>(SUMIFS('MAIN DATA, Orders'!$M:$M,'MAIN DATA, Orders'!$Q:$Q,$A55,'MAIN DATA, Orders'!$C:$C,"Germany",'MAIN DATA, Orders'!$G:$G,"Artillery")/1000000000)</f>
        <v>0</v>
      </c>
      <c r="L55" s="61">
        <f>(SUMIFS('MAIN DATA, Orders'!$M:$M,'MAIN DATA, Orders'!$Q:$Q,$A55,'MAIN DATA, Orders'!$C:$C,"Germany",'MAIN DATA, Orders'!$G:$G,"Development - Artillery")/1000000000)</f>
        <v>0</v>
      </c>
      <c r="M55" s="61">
        <f>(SUMIFS('MAIN DATA, Orders'!$M:$M,'MAIN DATA, Orders'!$Q:$Q,$A55,'MAIN DATA, Orders'!$C:$C,"Germany",'MAIN DATA, Orders'!$G:$G,"Drone")/1000000000)</f>
        <v>0</v>
      </c>
      <c r="N55" s="61">
        <f>(SUMIFS('MAIN DATA, Orders'!$M:$M,'MAIN DATA, Orders'!$Q:$Q,$A55,'MAIN DATA, Orders'!$C:$C,"Germany",'MAIN DATA, Orders'!$G:$G,"Development - Drone")/1000000000)</f>
        <v>0</v>
      </c>
      <c r="O55" s="61">
        <f>(SUMIFS('MAIN DATA, Orders'!$M:$M,'MAIN DATA, Orders'!$Q:$Q,$A55,'MAIN DATA, Orders'!$C:$C,"Germany",'MAIN DATA, Orders'!$G:$G,"Helicopter")/1000000000)</f>
        <v>0</v>
      </c>
      <c r="P55" s="61">
        <f>(SUMIFS('MAIN DATA, Orders'!$M:$M,'MAIN DATA, Orders'!$Q:$Q,$A55,'MAIN DATA, Orders'!$C:$C,"Germany",'MAIN DATA, Orders'!$G:$G,"Development - Helicopter")/1000000000)</f>
        <v>0</v>
      </c>
      <c r="Q55" s="61">
        <f>(SUMIFS('MAIN DATA, Orders'!$M:$M,'MAIN DATA, Orders'!$Q:$Q,$A55,'MAIN DATA, Orders'!$C:$C,"Germany",'MAIN DATA, Orders'!$G:$G,"Infantry")/1000000000)</f>
        <v>0</v>
      </c>
      <c r="R55" s="61">
        <f>(SUMIFS('MAIN DATA, Orders'!$M:$M,'MAIN DATA, Orders'!$Q:$Q,$A55,'MAIN DATA, Orders'!$C:$C,"Germany",'MAIN DATA, Orders'!$G:$G,"Development - Infantry")/1000000000)</f>
        <v>0</v>
      </c>
      <c r="S55" s="61">
        <f>(SUMIFS('MAIN DATA, Orders'!$M:$M,'MAIN DATA, Orders'!$Q:$Q,$A55,'MAIN DATA, Orders'!$C:$C,"Germany",'MAIN DATA, Orders'!$G:$G,"Tank")/1000000000)</f>
        <v>0</v>
      </c>
      <c r="T55" s="61">
        <f>(SUMIFS('MAIN DATA, Orders'!$M:$M,'MAIN DATA, Orders'!$Q:$Q,$A55,'MAIN DATA, Orders'!$C:$C,"Germany",'MAIN DATA, Orders'!$G:$G,"Development - Tank")/1000000000)</f>
        <v>0</v>
      </c>
      <c r="U55" s="61">
        <f>(SUMIFS('MAIN DATA, Orders'!$M:$M,'MAIN DATA, Orders'!$Q:$Q,$A55,'MAIN DATA, Orders'!$C:$C,"Germany",'MAIN DATA, Orders'!$G:$G,"Maintenance")/1000000000)</f>
        <v>0</v>
      </c>
      <c r="V55" s="61">
        <f>(SUMIFS('MAIN DATA, Orders'!$M:$M,'MAIN DATA, Orders'!$Q:$Q,$A55,'MAIN DATA, Orders'!$C:$C,"Germany",'MAIN DATA, Orders'!$G:$G,"Development - Maintenance")/1000000000)</f>
        <v>0</v>
      </c>
      <c r="W55" s="61">
        <f>(SUMIFS('MAIN DATA, Orders'!$M:$M,'MAIN DATA, Orders'!$Q:$Q,$A55,'MAIN DATA, Orders'!$C:$C,"Germany",'MAIN DATA, Orders'!$G:$G,"Mine")/1000000000)</f>
        <v>0</v>
      </c>
      <c r="X55" s="61">
        <f>(SUMIFS('MAIN DATA, Orders'!$M:$M,'MAIN DATA, Orders'!$Q:$Q,$A55,'MAIN DATA, Orders'!$C:$C,"Germany",'MAIN DATA, Orders'!$G:$G,"Development - Mine")/1000000000)</f>
        <v>0</v>
      </c>
      <c r="Y55" s="61">
        <f>(SUMIFS('MAIN DATA, Orders'!$M:$M,'MAIN DATA, Orders'!$Q:$Q,$A55,'MAIN DATA, Orders'!$C:$C,"Germany",'MAIN DATA, Orders'!$H:$H,"6")/1000000000)</f>
        <v>0</v>
      </c>
      <c r="Z55" s="61" cm="1">
        <f t="array" ref="Z55">SUM(SUMIFS('MAIN DATA, Orders'!$M:$M,'MAIN DATA, Orders'!$Q:$Q,$A55,'MAIN DATA, Orders'!$C:$C,"Germany",'MAIN DATA, Orders'!$G:$G,{"Development - Missile (Land)","Development - Missile (Naval)","Development - Missile (Air)"})/1000000000)</f>
        <v>0</v>
      </c>
      <c r="AA55" s="61">
        <f>(SUMIFS('MAIN DATA, Orders'!$M:$M,'MAIN DATA, Orders'!$Q:$Q,$A55,'MAIN DATA, Orders'!$C:$C,"Germany",'MAIN DATA, Orders'!$G:$G,"Modernisation")/1000000000)</f>
        <v>0</v>
      </c>
      <c r="AB55" s="61">
        <f>(SUMIFS('MAIN DATA, Orders'!$M:$M,'MAIN DATA, Orders'!$Q:$Q,$A55,'MAIN DATA, Orders'!$C:$C,"Germany",'MAIN DATA, Orders'!$G:$G,"Development - Modernisation")/1000000000)</f>
        <v>0</v>
      </c>
      <c r="AC55" s="61">
        <f>(SUMIFS('MAIN DATA, Orders'!$M:$M,'MAIN DATA, Orders'!$Q:$Q,$A55,'MAIN DATA, Orders'!$C:$C,"Germany",'MAIN DATA, Orders'!$G:$G,"Naval")/1000000000)</f>
        <v>0</v>
      </c>
      <c r="AD55" s="61">
        <f>(SUMIFS('MAIN DATA, Orders'!$M:$M,'MAIN DATA, Orders'!$Q:$Q,$A55,'MAIN DATA, Orders'!$C:$C,"Germany",'MAIN DATA, Orders'!$G:$G,"Development - Naval")/1000000000)</f>
        <v>0</v>
      </c>
      <c r="AE55" s="61">
        <f>(SUMIFS('MAIN DATA, Orders'!$M:$M,'MAIN DATA, Orders'!$Q:$Q,$A55,'MAIN DATA, Orders'!$C:$C,"Germany",'MAIN DATA, Orders'!$G:$G,"Other")/1000000000)</f>
        <v>0</v>
      </c>
      <c r="AF55" s="61">
        <f>(SUMIFS('MAIN DATA, Orders'!$M:$M,'MAIN DATA, Orders'!$Q:$Q,$A55,'MAIN DATA, Orders'!$C:$C,"Germany",'MAIN DATA, Orders'!$G:$G,"Development - Other")/1000000000)</f>
        <v>0</v>
      </c>
      <c r="AG55" s="61"/>
      <c r="AH55" s="61" cm="1">
        <f t="array" ref="AH55">SUM(SUMIFS('MAIN DATA, Orders'!$M:$M,'MAIN DATA, Orders'!$Q:$Q,$A55,'MAIN DATA, Orders'!$C:$C,"Germany",'MAIN DATA, Orders'!$G:$G,{"Missile (Land)","Development - Missile (Land)"})/1000000000)</f>
        <v>0</v>
      </c>
      <c r="AI55" s="61" cm="1">
        <f t="array" ref="AI55">SUM(SUMIFS('MAIN DATA, Orders'!$M:$M,'MAIN DATA, Orders'!$C:$C,"Germany",'MAIN DATA, Orders'!$G:$G,{"Missile (Air)","Development - Missile (Air)"},'MAIN DATA, Orders'!$Q:$Q,$A55)/1000000000)</f>
        <v>0</v>
      </c>
      <c r="AJ55" s="61" cm="1">
        <f t="array" ref="AJ55">SUM(SUMIFS('MAIN DATA, Orders'!$M:$M,'MAIN DATA, Orders'!$Q:$Q,$A55,'MAIN DATA, Orders'!$C:$C,"Germany",'MAIN DATA, Orders'!$G:$G,{"Missile (Naval)","Development - Missile (Naval)"})/1000000000)</f>
        <v>0</v>
      </c>
    </row>
    <row r="56" spans="1:36">
      <c r="A56" s="72">
        <v>50</v>
      </c>
      <c r="B56" s="68">
        <v>45323</v>
      </c>
      <c r="C56" s="61">
        <f>(SUMIFS('MAIN DATA, Orders'!$M:$M,'MAIN DATA, Orders'!$Q:$Q,$A56,'MAIN DATA, Orders'!$C:$C,"Germany",'MAIN DATA, Orders'!$G:$G,"Air defence system")/1000000000)</f>
        <v>0.64900000000000002</v>
      </c>
      <c r="D56" s="61">
        <f>(SUMIFS('MAIN DATA, Orders'!$M:$M,'MAIN DATA, Orders'!$Q:$Q,$A56,'MAIN DATA, Orders'!$C:$C,"Germany",'MAIN DATA, Orders'!$G:$G,"Development - Air defence system")/1000000000)</f>
        <v>0</v>
      </c>
      <c r="E56" s="61">
        <f>(SUMIFS('MAIN DATA, Orders'!$M:$M,'MAIN DATA, Orders'!$Q:$Q,$A56,'MAIN DATA, Orders'!$C:$C,"Germany",'MAIN DATA, Orders'!$G:$G,"Aircraft")/1000000000)</f>
        <v>0</v>
      </c>
      <c r="F56" s="61">
        <f>(SUMIFS('MAIN DATA, Orders'!$M:$M,'MAIN DATA, Orders'!$Q:$Q,$A56,'MAIN DATA, Orders'!$C:$C,"Germany",'MAIN DATA, Orders'!$G:$G,"Development - Aircraft")/1000000000)</f>
        <v>0</v>
      </c>
      <c r="G56" s="61">
        <f>(SUMIFS('MAIN DATA, Orders'!$M:$M,'MAIN DATA, Orders'!$Q:$Q,$A56,'MAIN DATA, Orders'!$C:$C,"Germany",'MAIN DATA, Orders'!$G:$G,"Ammunition")/1000000000)</f>
        <v>0</v>
      </c>
      <c r="H56" s="61">
        <f>(SUMIFS('MAIN DATA, Orders'!$M:$M,'MAIN DATA, Orders'!$Q:$Q,$A56,'MAIN DATA, Orders'!$C:$C,"Germany",'MAIN DATA, Orders'!$G:$G,"Development - Ammunition")/1000000000)</f>
        <v>0</v>
      </c>
      <c r="I56" s="61">
        <f>(SUMIFS('MAIN DATA, Orders'!$M:$M,'MAIN DATA, Orders'!$Q:$Q,$A56,'MAIN DATA, Orders'!$C:$C,"Germany",'MAIN DATA, Orders'!$G:$G,"Armoured vehicle")/1000000000)</f>
        <v>0</v>
      </c>
      <c r="J56" s="61">
        <f>(SUMIFS('MAIN DATA, Orders'!$M:$M,'MAIN DATA, Orders'!$Q:$Q,$A56,'MAIN DATA, Orders'!$C:$C,"Germany",'MAIN DATA, Orders'!$G:$G,"Development - Armoured vehicle")/1000000000)</f>
        <v>0</v>
      </c>
      <c r="K56" s="61">
        <f>(SUMIFS('MAIN DATA, Orders'!$M:$M,'MAIN DATA, Orders'!$Q:$Q,$A56,'MAIN DATA, Orders'!$C:$C,"Germany",'MAIN DATA, Orders'!$G:$G,"Artillery")/1000000000)</f>
        <v>0</v>
      </c>
      <c r="L56" s="61">
        <f>(SUMIFS('MAIN DATA, Orders'!$M:$M,'MAIN DATA, Orders'!$Q:$Q,$A56,'MAIN DATA, Orders'!$C:$C,"Germany",'MAIN DATA, Orders'!$G:$G,"Development - Artillery")/1000000000)</f>
        <v>0</v>
      </c>
      <c r="M56" s="61">
        <f>(SUMIFS('MAIN DATA, Orders'!$M:$M,'MAIN DATA, Orders'!$Q:$Q,$A56,'MAIN DATA, Orders'!$C:$C,"Germany",'MAIN DATA, Orders'!$G:$G,"Drone")/1000000000)</f>
        <v>0</v>
      </c>
      <c r="N56" s="61">
        <f>(SUMIFS('MAIN DATA, Orders'!$M:$M,'MAIN DATA, Orders'!$Q:$Q,$A56,'MAIN DATA, Orders'!$C:$C,"Germany",'MAIN DATA, Orders'!$G:$G,"Development - Drone")/1000000000)</f>
        <v>0</v>
      </c>
      <c r="O56" s="61">
        <f>(SUMIFS('MAIN DATA, Orders'!$M:$M,'MAIN DATA, Orders'!$Q:$Q,$A56,'MAIN DATA, Orders'!$C:$C,"Germany",'MAIN DATA, Orders'!$G:$G,"Helicopter")/1000000000)</f>
        <v>0</v>
      </c>
      <c r="P56" s="61">
        <f>(SUMIFS('MAIN DATA, Orders'!$M:$M,'MAIN DATA, Orders'!$Q:$Q,$A56,'MAIN DATA, Orders'!$C:$C,"Germany",'MAIN DATA, Orders'!$G:$G,"Development - Helicopter")/1000000000)</f>
        <v>0</v>
      </c>
      <c r="Q56" s="61">
        <f>(SUMIFS('MAIN DATA, Orders'!$M:$M,'MAIN DATA, Orders'!$Q:$Q,$A56,'MAIN DATA, Orders'!$C:$C,"Germany",'MAIN DATA, Orders'!$G:$G,"Infantry")/1000000000)</f>
        <v>0</v>
      </c>
      <c r="R56" s="61">
        <f>(SUMIFS('MAIN DATA, Orders'!$M:$M,'MAIN DATA, Orders'!$Q:$Q,$A56,'MAIN DATA, Orders'!$C:$C,"Germany",'MAIN DATA, Orders'!$G:$G,"Development - Infantry")/1000000000)</f>
        <v>0</v>
      </c>
      <c r="S56" s="61">
        <f>(SUMIFS('MAIN DATA, Orders'!$M:$M,'MAIN DATA, Orders'!$Q:$Q,$A56,'MAIN DATA, Orders'!$C:$C,"Germany",'MAIN DATA, Orders'!$G:$G,"Tank")/1000000000)</f>
        <v>0</v>
      </c>
      <c r="T56" s="61">
        <f>(SUMIFS('MAIN DATA, Orders'!$M:$M,'MAIN DATA, Orders'!$Q:$Q,$A56,'MAIN DATA, Orders'!$C:$C,"Germany",'MAIN DATA, Orders'!$G:$G,"Development - Tank")/1000000000)</f>
        <v>0</v>
      </c>
      <c r="U56" s="61">
        <f>(SUMIFS('MAIN DATA, Orders'!$M:$M,'MAIN DATA, Orders'!$Q:$Q,$A56,'MAIN DATA, Orders'!$C:$C,"Germany",'MAIN DATA, Orders'!$G:$G,"Maintenance")/1000000000)</f>
        <v>0</v>
      </c>
      <c r="V56" s="61">
        <f>(SUMIFS('MAIN DATA, Orders'!$M:$M,'MAIN DATA, Orders'!$Q:$Q,$A56,'MAIN DATA, Orders'!$C:$C,"Germany",'MAIN DATA, Orders'!$G:$G,"Development - Maintenance")/1000000000)</f>
        <v>0</v>
      </c>
      <c r="W56" s="61">
        <f>(SUMIFS('MAIN DATA, Orders'!$M:$M,'MAIN DATA, Orders'!$Q:$Q,$A56,'MAIN DATA, Orders'!$C:$C,"Germany",'MAIN DATA, Orders'!$G:$G,"Mine")/1000000000)</f>
        <v>0</v>
      </c>
      <c r="X56" s="61">
        <f>(SUMIFS('MAIN DATA, Orders'!$M:$M,'MAIN DATA, Orders'!$Q:$Q,$A56,'MAIN DATA, Orders'!$C:$C,"Germany",'MAIN DATA, Orders'!$G:$G,"Development - Mine")/1000000000)</f>
        <v>0</v>
      </c>
      <c r="Y56" s="61">
        <f>(SUMIFS('MAIN DATA, Orders'!$M:$M,'MAIN DATA, Orders'!$Q:$Q,$A56,'MAIN DATA, Orders'!$C:$C,"Germany",'MAIN DATA, Orders'!$H:$H,"6")/1000000000)</f>
        <v>0</v>
      </c>
      <c r="Z56" s="61" cm="1">
        <f t="array" ref="Z56">SUM(SUMIFS('MAIN DATA, Orders'!$M:$M,'MAIN DATA, Orders'!$Q:$Q,$A56,'MAIN DATA, Orders'!$C:$C,"Germany",'MAIN DATA, Orders'!$G:$G,{"Development - Missile (Land)","Development - Missile (Naval)","Development - Missile (Air)"})/1000000000)</f>
        <v>0</v>
      </c>
      <c r="AA56" s="61">
        <f>(SUMIFS('MAIN DATA, Orders'!$M:$M,'MAIN DATA, Orders'!$Q:$Q,$A56,'MAIN DATA, Orders'!$C:$C,"Germany",'MAIN DATA, Orders'!$G:$G,"Modernisation")/1000000000)</f>
        <v>2.2000000000000002</v>
      </c>
      <c r="AB56" s="61">
        <f>(SUMIFS('MAIN DATA, Orders'!$M:$M,'MAIN DATA, Orders'!$Q:$Q,$A56,'MAIN DATA, Orders'!$C:$C,"Germany",'MAIN DATA, Orders'!$G:$G,"Development - Modernisation")/1000000000)</f>
        <v>0</v>
      </c>
      <c r="AC56" s="61">
        <f>(SUMIFS('MAIN DATA, Orders'!$M:$M,'MAIN DATA, Orders'!$Q:$Q,$A56,'MAIN DATA, Orders'!$C:$C,"Germany",'MAIN DATA, Orders'!$G:$G,"Naval")/1000000000)</f>
        <v>0</v>
      </c>
      <c r="AD56" s="61">
        <f>(SUMIFS('MAIN DATA, Orders'!$M:$M,'MAIN DATA, Orders'!$Q:$Q,$A56,'MAIN DATA, Orders'!$C:$C,"Germany",'MAIN DATA, Orders'!$G:$G,"Development - Naval")/1000000000)</f>
        <v>0</v>
      </c>
      <c r="AE56" s="61">
        <f>(SUMIFS('MAIN DATA, Orders'!$M:$M,'MAIN DATA, Orders'!$Q:$Q,$A56,'MAIN DATA, Orders'!$C:$C,"Germany",'MAIN DATA, Orders'!$G:$G,"Other")/1000000000)</f>
        <v>0</v>
      </c>
      <c r="AF56" s="61">
        <f>(SUMIFS('MAIN DATA, Orders'!$M:$M,'MAIN DATA, Orders'!$Q:$Q,$A56,'MAIN DATA, Orders'!$C:$C,"Germany",'MAIN DATA, Orders'!$G:$G,"Development - Other")/1000000000)</f>
        <v>0</v>
      </c>
      <c r="AG56" s="61"/>
      <c r="AH56" s="61" cm="1">
        <f t="array" ref="AH56">SUM(SUMIFS('MAIN DATA, Orders'!$M:$M,'MAIN DATA, Orders'!$Q:$Q,$A56,'MAIN DATA, Orders'!$C:$C,"Germany",'MAIN DATA, Orders'!$G:$G,{"Missile (Land)","Development - Missile (Land)"})/1000000000)</f>
        <v>0</v>
      </c>
      <c r="AI56" s="61" cm="1">
        <f t="array" ref="AI56">SUM(SUMIFS('MAIN DATA, Orders'!$M:$M,'MAIN DATA, Orders'!$C:$C,"Germany",'MAIN DATA, Orders'!$G:$G,{"Missile (Air)","Development - Missile (Air)"},'MAIN DATA, Orders'!$Q:$Q,$A56)/1000000000)</f>
        <v>0</v>
      </c>
      <c r="AJ56" s="61" cm="1">
        <f t="array" ref="AJ56">SUM(SUMIFS('MAIN DATA, Orders'!$M:$M,'MAIN DATA, Orders'!$Q:$Q,$A56,'MAIN DATA, Orders'!$C:$C,"Germany",'MAIN DATA, Orders'!$G:$G,{"Missile (Naval)","Development - Missile (Naval)"})/1000000000)</f>
        <v>0</v>
      </c>
    </row>
    <row r="57" spans="1:36">
      <c r="A57" s="72">
        <v>51</v>
      </c>
      <c r="B57" s="68">
        <v>45352</v>
      </c>
      <c r="C57" s="61">
        <f>(SUMIFS('MAIN DATA, Orders'!$M:$M,'MAIN DATA, Orders'!$Q:$Q,$A57,'MAIN DATA, Orders'!$C:$C,"Germany",'MAIN DATA, Orders'!$G:$G,"Air defence system")/1000000000)</f>
        <v>1.4</v>
      </c>
      <c r="D57" s="61">
        <f>(SUMIFS('MAIN DATA, Orders'!$M:$M,'MAIN DATA, Orders'!$Q:$Q,$A57,'MAIN DATA, Orders'!$C:$C,"Germany",'MAIN DATA, Orders'!$G:$G,"Development - Air defence system")/1000000000)</f>
        <v>0</v>
      </c>
      <c r="E57" s="61">
        <f>(SUMIFS('MAIN DATA, Orders'!$M:$M,'MAIN DATA, Orders'!$Q:$Q,$A57,'MAIN DATA, Orders'!$C:$C,"Germany",'MAIN DATA, Orders'!$G:$G,"Aircraft")/1000000000)</f>
        <v>0</v>
      </c>
      <c r="F57" s="61">
        <f>(SUMIFS('MAIN DATA, Orders'!$M:$M,'MAIN DATA, Orders'!$Q:$Q,$A57,'MAIN DATA, Orders'!$C:$C,"Germany",'MAIN DATA, Orders'!$G:$G,"Development - Aircraft")/1000000000)</f>
        <v>0.10199999999999999</v>
      </c>
      <c r="G57" s="61">
        <f>(SUMIFS('MAIN DATA, Orders'!$M:$M,'MAIN DATA, Orders'!$Q:$Q,$A57,'MAIN DATA, Orders'!$C:$C,"Germany",'MAIN DATA, Orders'!$G:$G,"Ammunition")/1000000000)</f>
        <v>0</v>
      </c>
      <c r="H57" s="61">
        <f>(SUMIFS('MAIN DATA, Orders'!$M:$M,'MAIN DATA, Orders'!$Q:$Q,$A57,'MAIN DATA, Orders'!$C:$C,"Germany",'MAIN DATA, Orders'!$G:$G,"Development - Ammunition")/1000000000)</f>
        <v>0</v>
      </c>
      <c r="I57" s="61">
        <f>(SUMIFS('MAIN DATA, Orders'!$M:$M,'MAIN DATA, Orders'!$Q:$Q,$A57,'MAIN DATA, Orders'!$C:$C,"Germany",'MAIN DATA, Orders'!$G:$G,"Armoured vehicle")/1000000000)</f>
        <v>1.94</v>
      </c>
      <c r="J57" s="61">
        <f>(SUMIFS('MAIN DATA, Orders'!$M:$M,'MAIN DATA, Orders'!$Q:$Q,$A57,'MAIN DATA, Orders'!$C:$C,"Germany",'MAIN DATA, Orders'!$G:$G,"Development - Armoured vehicle")/1000000000)</f>
        <v>0</v>
      </c>
      <c r="K57" s="61">
        <f>(SUMIFS('MAIN DATA, Orders'!$M:$M,'MAIN DATA, Orders'!$Q:$Q,$A57,'MAIN DATA, Orders'!$C:$C,"Germany",'MAIN DATA, Orders'!$G:$G,"Artillery")/1000000000)</f>
        <v>0</v>
      </c>
      <c r="L57" s="61">
        <f>(SUMIFS('MAIN DATA, Orders'!$M:$M,'MAIN DATA, Orders'!$Q:$Q,$A57,'MAIN DATA, Orders'!$C:$C,"Germany",'MAIN DATA, Orders'!$G:$G,"Development - Artillery")/1000000000)</f>
        <v>0</v>
      </c>
      <c r="M57" s="61">
        <f>(SUMIFS('MAIN DATA, Orders'!$M:$M,'MAIN DATA, Orders'!$Q:$Q,$A57,'MAIN DATA, Orders'!$C:$C,"Germany",'MAIN DATA, Orders'!$G:$G,"Drone")/1000000000)</f>
        <v>0</v>
      </c>
      <c r="N57" s="61">
        <f>(SUMIFS('MAIN DATA, Orders'!$M:$M,'MAIN DATA, Orders'!$Q:$Q,$A57,'MAIN DATA, Orders'!$C:$C,"Germany",'MAIN DATA, Orders'!$G:$G,"Development - Drone")/1000000000)</f>
        <v>0</v>
      </c>
      <c r="O57" s="61">
        <f>(SUMIFS('MAIN DATA, Orders'!$M:$M,'MAIN DATA, Orders'!$Q:$Q,$A57,'MAIN DATA, Orders'!$C:$C,"Germany",'MAIN DATA, Orders'!$G:$G,"Helicopter")/1000000000)</f>
        <v>0</v>
      </c>
      <c r="P57" s="61">
        <f>(SUMIFS('MAIN DATA, Orders'!$M:$M,'MAIN DATA, Orders'!$Q:$Q,$A57,'MAIN DATA, Orders'!$C:$C,"Germany",'MAIN DATA, Orders'!$G:$G,"Development - Helicopter")/1000000000)</f>
        <v>0</v>
      </c>
      <c r="Q57" s="61">
        <f>(SUMIFS('MAIN DATA, Orders'!$M:$M,'MAIN DATA, Orders'!$Q:$Q,$A57,'MAIN DATA, Orders'!$C:$C,"Germany",'MAIN DATA, Orders'!$G:$G,"Infantry")/1000000000)</f>
        <v>0</v>
      </c>
      <c r="R57" s="61">
        <f>(SUMIFS('MAIN DATA, Orders'!$M:$M,'MAIN DATA, Orders'!$Q:$Q,$A57,'MAIN DATA, Orders'!$C:$C,"Germany",'MAIN DATA, Orders'!$G:$G,"Development - Infantry")/1000000000)</f>
        <v>0</v>
      </c>
      <c r="S57" s="61">
        <f>(SUMIFS('MAIN DATA, Orders'!$M:$M,'MAIN DATA, Orders'!$Q:$Q,$A57,'MAIN DATA, Orders'!$C:$C,"Germany",'MAIN DATA, Orders'!$G:$G,"Tank")/1000000000)</f>
        <v>0</v>
      </c>
      <c r="T57" s="61">
        <f>(SUMIFS('MAIN DATA, Orders'!$M:$M,'MAIN DATA, Orders'!$Q:$Q,$A57,'MAIN DATA, Orders'!$C:$C,"Germany",'MAIN DATA, Orders'!$G:$G,"Development - Tank")/1000000000)</f>
        <v>0</v>
      </c>
      <c r="U57" s="61">
        <f>(SUMIFS('MAIN DATA, Orders'!$M:$M,'MAIN DATA, Orders'!$Q:$Q,$A57,'MAIN DATA, Orders'!$C:$C,"Germany",'MAIN DATA, Orders'!$G:$G,"Maintenance")/1000000000)</f>
        <v>0.74690000000000001</v>
      </c>
      <c r="V57" s="61">
        <f>(SUMIFS('MAIN DATA, Orders'!$M:$M,'MAIN DATA, Orders'!$Q:$Q,$A57,'MAIN DATA, Orders'!$C:$C,"Germany",'MAIN DATA, Orders'!$G:$G,"Development - Maintenance")/1000000000)</f>
        <v>0</v>
      </c>
      <c r="W57" s="61">
        <f>(SUMIFS('MAIN DATA, Orders'!$M:$M,'MAIN DATA, Orders'!$Q:$Q,$A57,'MAIN DATA, Orders'!$C:$C,"Germany",'MAIN DATA, Orders'!$G:$G,"Mine")/1000000000)</f>
        <v>0</v>
      </c>
      <c r="X57" s="61">
        <f>(SUMIFS('MAIN DATA, Orders'!$M:$M,'MAIN DATA, Orders'!$Q:$Q,$A57,'MAIN DATA, Orders'!$C:$C,"Germany",'MAIN DATA, Orders'!$G:$G,"Development - Mine")/1000000000)</f>
        <v>0</v>
      </c>
      <c r="Y57" s="61">
        <f>(SUMIFS('MAIN DATA, Orders'!$M:$M,'MAIN DATA, Orders'!$Q:$Q,$A57,'MAIN DATA, Orders'!$C:$C,"Germany",'MAIN DATA, Orders'!$H:$H,"6")/1000000000)</f>
        <v>0</v>
      </c>
      <c r="Z57" s="61" cm="1">
        <f t="array" ref="Z57">SUM(SUMIFS('MAIN DATA, Orders'!$M:$M,'MAIN DATA, Orders'!$Q:$Q,$A57,'MAIN DATA, Orders'!$C:$C,"Germany",'MAIN DATA, Orders'!$G:$G,{"Development - Missile (Land)","Development - Missile (Naval)","Development - Missile (Air)"})/1000000000)</f>
        <v>0</v>
      </c>
      <c r="AA57" s="61">
        <f>(SUMIFS('MAIN DATA, Orders'!$M:$M,'MAIN DATA, Orders'!$Q:$Q,$A57,'MAIN DATA, Orders'!$C:$C,"Germany",'MAIN DATA, Orders'!$G:$G,"Modernisation")/1000000000)</f>
        <v>8.1000000000000003E-2</v>
      </c>
      <c r="AB57" s="61">
        <f>(SUMIFS('MAIN DATA, Orders'!$M:$M,'MAIN DATA, Orders'!$Q:$Q,$A57,'MAIN DATA, Orders'!$C:$C,"Germany",'MAIN DATA, Orders'!$G:$G,"Development - Modernisation")/1000000000)</f>
        <v>0</v>
      </c>
      <c r="AC57" s="61">
        <f>(SUMIFS('MAIN DATA, Orders'!$M:$M,'MAIN DATA, Orders'!$Q:$Q,$A57,'MAIN DATA, Orders'!$C:$C,"Germany",'MAIN DATA, Orders'!$G:$G,"Naval")/1000000000)</f>
        <v>0</v>
      </c>
      <c r="AD57" s="61">
        <f>(SUMIFS('MAIN DATA, Orders'!$M:$M,'MAIN DATA, Orders'!$Q:$Q,$A57,'MAIN DATA, Orders'!$C:$C,"Germany",'MAIN DATA, Orders'!$G:$G,"Development - Naval")/1000000000)</f>
        <v>0</v>
      </c>
      <c r="AE57" s="61">
        <f>(SUMIFS('MAIN DATA, Orders'!$M:$M,'MAIN DATA, Orders'!$Q:$Q,$A57,'MAIN DATA, Orders'!$C:$C,"Germany",'MAIN DATA, Orders'!$G:$G,"Other")/1000000000)</f>
        <v>0.16200000000000001</v>
      </c>
      <c r="AF57" s="61">
        <f>(SUMIFS('MAIN DATA, Orders'!$M:$M,'MAIN DATA, Orders'!$Q:$Q,$A57,'MAIN DATA, Orders'!$C:$C,"Germany",'MAIN DATA, Orders'!$G:$G,"Development - Other")/1000000000)</f>
        <v>0</v>
      </c>
      <c r="AG57" s="61"/>
      <c r="AH57" s="61" cm="1">
        <f t="array" ref="AH57">SUM(SUMIFS('MAIN DATA, Orders'!$M:$M,'MAIN DATA, Orders'!$Q:$Q,$A57,'MAIN DATA, Orders'!$C:$C,"Germany",'MAIN DATA, Orders'!$G:$G,{"Missile (Land)","Development - Missile (Land)"})/1000000000)</f>
        <v>0</v>
      </c>
      <c r="AI57" s="61" cm="1">
        <f t="array" ref="AI57">SUM(SUMIFS('MAIN DATA, Orders'!$M:$M,'MAIN DATA, Orders'!$C:$C,"Germany",'MAIN DATA, Orders'!$G:$G,{"Missile (Air)","Development - Missile (Air)"},'MAIN DATA, Orders'!$Q:$Q,$A57)/1000000000)</f>
        <v>0</v>
      </c>
      <c r="AJ57" s="61" cm="1">
        <f t="array" ref="AJ57">SUM(SUMIFS('MAIN DATA, Orders'!$M:$M,'MAIN DATA, Orders'!$Q:$Q,$A57,'MAIN DATA, Orders'!$C:$C,"Germany",'MAIN DATA, Orders'!$G:$G,{"Missile (Naval)","Development - Missile (Naval)"})/1000000000)</f>
        <v>0</v>
      </c>
    </row>
    <row r="58" spans="1:36">
      <c r="A58" s="72">
        <v>52</v>
      </c>
      <c r="B58" s="68">
        <v>45383</v>
      </c>
      <c r="C58" s="61">
        <f>(SUMIFS('MAIN DATA, Orders'!$M:$M,'MAIN DATA, Orders'!$Q:$Q,$A58,'MAIN DATA, Orders'!$C:$C,"Germany",'MAIN DATA, Orders'!$G:$G,"Air defence system")/1000000000)</f>
        <v>0</v>
      </c>
      <c r="D58" s="61">
        <f>(SUMIFS('MAIN DATA, Orders'!$M:$M,'MAIN DATA, Orders'!$Q:$Q,$A58,'MAIN DATA, Orders'!$C:$C,"Germany",'MAIN DATA, Orders'!$G:$G,"Development - Air defence system")/1000000000)</f>
        <v>0</v>
      </c>
      <c r="E58" s="61">
        <f>(SUMIFS('MAIN DATA, Orders'!$M:$M,'MAIN DATA, Orders'!$Q:$Q,$A58,'MAIN DATA, Orders'!$C:$C,"Germany",'MAIN DATA, Orders'!$G:$G,"Aircraft")/1000000000)</f>
        <v>4.2999999999999997E-2</v>
      </c>
      <c r="F58" s="61">
        <f>(SUMIFS('MAIN DATA, Orders'!$M:$M,'MAIN DATA, Orders'!$Q:$Q,$A58,'MAIN DATA, Orders'!$C:$C,"Germany",'MAIN DATA, Orders'!$G:$G,"Development - Aircraft")/1000000000)</f>
        <v>9.7000000000000003E-2</v>
      </c>
      <c r="G58" s="61">
        <f>(SUMIFS('MAIN DATA, Orders'!$M:$M,'MAIN DATA, Orders'!$Q:$Q,$A58,'MAIN DATA, Orders'!$C:$C,"Germany",'MAIN DATA, Orders'!$G:$G,"Ammunition")/1000000000)</f>
        <v>5.3999999999999999E-2</v>
      </c>
      <c r="H58" s="61">
        <f>(SUMIFS('MAIN DATA, Orders'!$M:$M,'MAIN DATA, Orders'!$Q:$Q,$A58,'MAIN DATA, Orders'!$C:$C,"Germany",'MAIN DATA, Orders'!$G:$G,"Development - Ammunition")/1000000000)</f>
        <v>0</v>
      </c>
      <c r="I58" s="61">
        <f>(SUMIFS('MAIN DATA, Orders'!$M:$M,'MAIN DATA, Orders'!$Q:$Q,$A58,'MAIN DATA, Orders'!$C:$C,"Germany",'MAIN DATA, Orders'!$G:$G,"Armoured vehicle")/1000000000)</f>
        <v>0.109</v>
      </c>
      <c r="J58" s="61">
        <f>(SUMIFS('MAIN DATA, Orders'!$M:$M,'MAIN DATA, Orders'!$Q:$Q,$A58,'MAIN DATA, Orders'!$C:$C,"Germany",'MAIN DATA, Orders'!$G:$G,"Development - Armoured vehicle")/1000000000)</f>
        <v>0</v>
      </c>
      <c r="K58" s="61">
        <f>(SUMIFS('MAIN DATA, Orders'!$M:$M,'MAIN DATA, Orders'!$Q:$Q,$A58,'MAIN DATA, Orders'!$C:$C,"Germany",'MAIN DATA, Orders'!$G:$G,"Artillery")/1000000000)</f>
        <v>0</v>
      </c>
      <c r="L58" s="61">
        <f>(SUMIFS('MAIN DATA, Orders'!$M:$M,'MAIN DATA, Orders'!$Q:$Q,$A58,'MAIN DATA, Orders'!$C:$C,"Germany",'MAIN DATA, Orders'!$G:$G,"Development - Artillery")/1000000000)</f>
        <v>0</v>
      </c>
      <c r="M58" s="61">
        <f>(SUMIFS('MAIN DATA, Orders'!$M:$M,'MAIN DATA, Orders'!$Q:$Q,$A58,'MAIN DATA, Orders'!$C:$C,"Germany",'MAIN DATA, Orders'!$G:$G,"Drone")/1000000000)</f>
        <v>0</v>
      </c>
      <c r="N58" s="61">
        <f>(SUMIFS('MAIN DATA, Orders'!$M:$M,'MAIN DATA, Orders'!$Q:$Q,$A58,'MAIN DATA, Orders'!$C:$C,"Germany",'MAIN DATA, Orders'!$G:$G,"Development - Drone")/1000000000)</f>
        <v>0</v>
      </c>
      <c r="O58" s="61">
        <f>(SUMIFS('MAIN DATA, Orders'!$M:$M,'MAIN DATA, Orders'!$Q:$Q,$A58,'MAIN DATA, Orders'!$C:$C,"Germany",'MAIN DATA, Orders'!$G:$G,"Helicopter")/1000000000)</f>
        <v>0.217</v>
      </c>
      <c r="P58" s="61">
        <f>(SUMIFS('MAIN DATA, Orders'!$M:$M,'MAIN DATA, Orders'!$Q:$Q,$A58,'MAIN DATA, Orders'!$C:$C,"Germany",'MAIN DATA, Orders'!$G:$G,"Development - Helicopter")/1000000000)</f>
        <v>0</v>
      </c>
      <c r="Q58" s="61">
        <f>(SUMIFS('MAIN DATA, Orders'!$M:$M,'MAIN DATA, Orders'!$Q:$Q,$A58,'MAIN DATA, Orders'!$C:$C,"Germany",'MAIN DATA, Orders'!$G:$G,"Infantry")/1000000000)</f>
        <v>6.7000000000000004E-2</v>
      </c>
      <c r="R58" s="61">
        <f>(SUMIFS('MAIN DATA, Orders'!$M:$M,'MAIN DATA, Orders'!$Q:$Q,$A58,'MAIN DATA, Orders'!$C:$C,"Germany",'MAIN DATA, Orders'!$G:$G,"Development - Infantry")/1000000000)</f>
        <v>0</v>
      </c>
      <c r="S58" s="61">
        <f>(SUMIFS('MAIN DATA, Orders'!$M:$M,'MAIN DATA, Orders'!$Q:$Q,$A58,'MAIN DATA, Orders'!$C:$C,"Germany",'MAIN DATA, Orders'!$G:$G,"Tank")/1000000000)</f>
        <v>0</v>
      </c>
      <c r="T58" s="61">
        <f>(SUMIFS('MAIN DATA, Orders'!$M:$M,'MAIN DATA, Orders'!$Q:$Q,$A58,'MAIN DATA, Orders'!$C:$C,"Germany",'MAIN DATA, Orders'!$G:$G,"Development - Tank")/1000000000)</f>
        <v>0</v>
      </c>
      <c r="U58" s="61">
        <f>(SUMIFS('MAIN DATA, Orders'!$M:$M,'MAIN DATA, Orders'!$Q:$Q,$A58,'MAIN DATA, Orders'!$C:$C,"Germany",'MAIN DATA, Orders'!$G:$G,"Maintenance")/1000000000)</f>
        <v>0</v>
      </c>
      <c r="V58" s="61">
        <f>(SUMIFS('MAIN DATA, Orders'!$M:$M,'MAIN DATA, Orders'!$Q:$Q,$A58,'MAIN DATA, Orders'!$C:$C,"Germany",'MAIN DATA, Orders'!$G:$G,"Development - Maintenance")/1000000000)</f>
        <v>0</v>
      </c>
      <c r="W58" s="61">
        <f>(SUMIFS('MAIN DATA, Orders'!$M:$M,'MAIN DATA, Orders'!$Q:$Q,$A58,'MAIN DATA, Orders'!$C:$C,"Germany",'MAIN DATA, Orders'!$G:$G,"Mine")/1000000000)</f>
        <v>0</v>
      </c>
      <c r="X58" s="61">
        <f>(SUMIFS('MAIN DATA, Orders'!$M:$M,'MAIN DATA, Orders'!$Q:$Q,$A58,'MAIN DATA, Orders'!$C:$C,"Germany",'MAIN DATA, Orders'!$G:$G,"Development - Mine")/1000000000)</f>
        <v>0</v>
      </c>
      <c r="Y58" s="61">
        <f>(SUMIFS('MAIN DATA, Orders'!$M:$M,'MAIN DATA, Orders'!$Q:$Q,$A58,'MAIN DATA, Orders'!$C:$C,"Germany",'MAIN DATA, Orders'!$H:$H,"6")/1000000000)</f>
        <v>0</v>
      </c>
      <c r="Z58" s="61" cm="1">
        <f t="array" ref="Z58">SUM(SUMIFS('MAIN DATA, Orders'!$M:$M,'MAIN DATA, Orders'!$Q:$Q,$A58,'MAIN DATA, Orders'!$C:$C,"Germany",'MAIN DATA, Orders'!$G:$G,{"Development - Missile (Land)","Development - Missile (Naval)","Development - Missile (Air)"})/1000000000)</f>
        <v>0</v>
      </c>
      <c r="AA58" s="61">
        <f>(SUMIFS('MAIN DATA, Orders'!$M:$M,'MAIN DATA, Orders'!$Q:$Q,$A58,'MAIN DATA, Orders'!$C:$C,"Germany",'MAIN DATA, Orders'!$G:$G,"Modernisation")/1000000000)</f>
        <v>0</v>
      </c>
      <c r="AB58" s="61">
        <f>(SUMIFS('MAIN DATA, Orders'!$M:$M,'MAIN DATA, Orders'!$Q:$Q,$A58,'MAIN DATA, Orders'!$C:$C,"Germany",'MAIN DATA, Orders'!$G:$G,"Development - Modernisation")/1000000000)</f>
        <v>0</v>
      </c>
      <c r="AC58" s="61">
        <f>(SUMIFS('MAIN DATA, Orders'!$M:$M,'MAIN DATA, Orders'!$Q:$Q,$A58,'MAIN DATA, Orders'!$C:$C,"Germany",'MAIN DATA, Orders'!$G:$G,"Naval")/1000000000)</f>
        <v>0</v>
      </c>
      <c r="AD58" s="61">
        <f>(SUMIFS('MAIN DATA, Orders'!$M:$M,'MAIN DATA, Orders'!$Q:$Q,$A58,'MAIN DATA, Orders'!$C:$C,"Germany",'MAIN DATA, Orders'!$G:$G,"Development - Naval")/1000000000)</f>
        <v>0</v>
      </c>
      <c r="AE58" s="61">
        <f>(SUMIFS('MAIN DATA, Orders'!$M:$M,'MAIN DATA, Orders'!$Q:$Q,$A58,'MAIN DATA, Orders'!$C:$C,"Germany",'MAIN DATA, Orders'!$G:$G,"Other")/1000000000)</f>
        <v>0</v>
      </c>
      <c r="AF58" s="61">
        <f>(SUMIFS('MAIN DATA, Orders'!$M:$M,'MAIN DATA, Orders'!$Q:$Q,$A58,'MAIN DATA, Orders'!$C:$C,"Germany",'MAIN DATA, Orders'!$G:$G,"Development - Other")/1000000000)</f>
        <v>0</v>
      </c>
      <c r="AG58" s="61"/>
      <c r="AH58" s="61" cm="1">
        <f t="array" ref="AH58">SUM(SUMIFS('MAIN DATA, Orders'!$M:$M,'MAIN DATA, Orders'!$Q:$Q,$A58,'MAIN DATA, Orders'!$C:$C,"Germany",'MAIN DATA, Orders'!$G:$G,{"Missile (Land)","Development - Missile (Land)"})/1000000000)</f>
        <v>0</v>
      </c>
      <c r="AI58" s="61" cm="1">
        <f t="array" ref="AI58">SUM(SUMIFS('MAIN DATA, Orders'!$M:$M,'MAIN DATA, Orders'!$C:$C,"Germany",'MAIN DATA, Orders'!$G:$G,{"Missile (Air)","Development - Missile (Air)"},'MAIN DATA, Orders'!$Q:$Q,$A58)/1000000000)</f>
        <v>0</v>
      </c>
      <c r="AJ58" s="61" cm="1">
        <f t="array" ref="AJ58">SUM(SUMIFS('MAIN DATA, Orders'!$M:$M,'MAIN DATA, Orders'!$Q:$Q,$A58,'MAIN DATA, Orders'!$C:$C,"Germany",'MAIN DATA, Orders'!$G:$G,{"Missile (Naval)","Development - Missile (Naval)"})/1000000000)</f>
        <v>0</v>
      </c>
    </row>
    <row r="59" spans="1:36">
      <c r="A59" s="72">
        <v>53</v>
      </c>
      <c r="B59" s="68">
        <v>45413</v>
      </c>
      <c r="C59" s="61">
        <f>(SUMIFS('MAIN DATA, Orders'!$M:$M,'MAIN DATA, Orders'!$Q:$Q,$A59,'MAIN DATA, Orders'!$C:$C,"Germany",'MAIN DATA, Orders'!$G:$G,"Air defence system")/1000000000)</f>
        <v>0</v>
      </c>
      <c r="D59" s="61">
        <f>(SUMIFS('MAIN DATA, Orders'!$M:$M,'MAIN DATA, Orders'!$Q:$Q,$A59,'MAIN DATA, Orders'!$C:$C,"Germany",'MAIN DATA, Orders'!$G:$G,"Development - Air defence system")/1000000000)</f>
        <v>0</v>
      </c>
      <c r="E59" s="61">
        <f>(SUMIFS('MAIN DATA, Orders'!$M:$M,'MAIN DATA, Orders'!$Q:$Q,$A59,'MAIN DATA, Orders'!$C:$C,"Germany",'MAIN DATA, Orders'!$G:$G,"Aircraft")/1000000000)</f>
        <v>0</v>
      </c>
      <c r="F59" s="61">
        <f>(SUMIFS('MAIN DATA, Orders'!$M:$M,'MAIN DATA, Orders'!$Q:$Q,$A59,'MAIN DATA, Orders'!$C:$C,"Germany",'MAIN DATA, Orders'!$G:$G,"Development - Aircraft")/1000000000)</f>
        <v>0</v>
      </c>
      <c r="G59" s="61">
        <f>(SUMIFS('MAIN DATA, Orders'!$M:$M,'MAIN DATA, Orders'!$Q:$Q,$A59,'MAIN DATA, Orders'!$C:$C,"Germany",'MAIN DATA, Orders'!$G:$G,"Ammunition")/1000000000)</f>
        <v>0</v>
      </c>
      <c r="H59" s="61">
        <f>(SUMIFS('MAIN DATA, Orders'!$M:$M,'MAIN DATA, Orders'!$Q:$Q,$A59,'MAIN DATA, Orders'!$C:$C,"Germany",'MAIN DATA, Orders'!$G:$G,"Development - Ammunition")/1000000000)</f>
        <v>0</v>
      </c>
      <c r="I59" s="61">
        <f>(SUMIFS('MAIN DATA, Orders'!$M:$M,'MAIN DATA, Orders'!$Q:$Q,$A59,'MAIN DATA, Orders'!$C:$C,"Germany",'MAIN DATA, Orders'!$G:$G,"Armoured vehicle")/1000000000)</f>
        <v>0</v>
      </c>
      <c r="J59" s="61">
        <f>(SUMIFS('MAIN DATA, Orders'!$M:$M,'MAIN DATA, Orders'!$Q:$Q,$A59,'MAIN DATA, Orders'!$C:$C,"Germany",'MAIN DATA, Orders'!$G:$G,"Development - Armoured vehicle")/1000000000)</f>
        <v>0</v>
      </c>
      <c r="K59" s="61">
        <f>(SUMIFS('MAIN DATA, Orders'!$M:$M,'MAIN DATA, Orders'!$Q:$Q,$A59,'MAIN DATA, Orders'!$C:$C,"Germany",'MAIN DATA, Orders'!$G:$G,"Artillery")/1000000000)</f>
        <v>0</v>
      </c>
      <c r="L59" s="61">
        <f>(SUMIFS('MAIN DATA, Orders'!$M:$M,'MAIN DATA, Orders'!$Q:$Q,$A59,'MAIN DATA, Orders'!$C:$C,"Germany",'MAIN DATA, Orders'!$G:$G,"Development - Artillery")/1000000000)</f>
        <v>0</v>
      </c>
      <c r="M59" s="61">
        <f>(SUMIFS('MAIN DATA, Orders'!$M:$M,'MAIN DATA, Orders'!$Q:$Q,$A59,'MAIN DATA, Orders'!$C:$C,"Germany",'MAIN DATA, Orders'!$G:$G,"Drone")/1000000000)</f>
        <v>0</v>
      </c>
      <c r="N59" s="61">
        <f>(SUMIFS('MAIN DATA, Orders'!$M:$M,'MAIN DATA, Orders'!$Q:$Q,$A59,'MAIN DATA, Orders'!$C:$C,"Germany",'MAIN DATA, Orders'!$G:$G,"Development - Drone")/1000000000)</f>
        <v>0</v>
      </c>
      <c r="O59" s="61">
        <f>(SUMIFS('MAIN DATA, Orders'!$M:$M,'MAIN DATA, Orders'!$Q:$Q,$A59,'MAIN DATA, Orders'!$C:$C,"Germany",'MAIN DATA, Orders'!$G:$G,"Helicopter")/1000000000)</f>
        <v>0</v>
      </c>
      <c r="P59" s="61">
        <f>(SUMIFS('MAIN DATA, Orders'!$M:$M,'MAIN DATA, Orders'!$Q:$Q,$A59,'MAIN DATA, Orders'!$C:$C,"Germany",'MAIN DATA, Orders'!$G:$G,"Development - Helicopter")/1000000000)</f>
        <v>0</v>
      </c>
      <c r="Q59" s="61">
        <f>(SUMIFS('MAIN DATA, Orders'!$M:$M,'MAIN DATA, Orders'!$Q:$Q,$A59,'MAIN DATA, Orders'!$C:$C,"Germany",'MAIN DATA, Orders'!$G:$G,"Infantry")/1000000000)</f>
        <v>0</v>
      </c>
      <c r="R59" s="61">
        <f>(SUMIFS('MAIN DATA, Orders'!$M:$M,'MAIN DATA, Orders'!$Q:$Q,$A59,'MAIN DATA, Orders'!$C:$C,"Germany",'MAIN DATA, Orders'!$G:$G,"Development - Infantry")/1000000000)</f>
        <v>0</v>
      </c>
      <c r="S59" s="61">
        <f>(SUMIFS('MAIN DATA, Orders'!$M:$M,'MAIN DATA, Orders'!$Q:$Q,$A59,'MAIN DATA, Orders'!$C:$C,"Germany",'MAIN DATA, Orders'!$G:$G,"Tank")/1000000000)</f>
        <v>0</v>
      </c>
      <c r="T59" s="61">
        <f>(SUMIFS('MAIN DATA, Orders'!$M:$M,'MAIN DATA, Orders'!$Q:$Q,$A59,'MAIN DATA, Orders'!$C:$C,"Germany",'MAIN DATA, Orders'!$G:$G,"Development - Tank")/1000000000)</f>
        <v>0</v>
      </c>
      <c r="U59" s="61">
        <f>(SUMIFS('MAIN DATA, Orders'!$M:$M,'MAIN DATA, Orders'!$Q:$Q,$A59,'MAIN DATA, Orders'!$C:$C,"Germany",'MAIN DATA, Orders'!$G:$G,"Maintenance")/1000000000)</f>
        <v>0.32475999999999999</v>
      </c>
      <c r="V59" s="61">
        <f>(SUMIFS('MAIN DATA, Orders'!$M:$M,'MAIN DATA, Orders'!$Q:$Q,$A59,'MAIN DATA, Orders'!$C:$C,"Germany",'MAIN DATA, Orders'!$G:$G,"Development - Maintenance")/1000000000)</f>
        <v>0</v>
      </c>
      <c r="W59" s="61">
        <f>(SUMIFS('MAIN DATA, Orders'!$M:$M,'MAIN DATA, Orders'!$Q:$Q,$A59,'MAIN DATA, Orders'!$C:$C,"Germany",'MAIN DATA, Orders'!$G:$G,"Mine")/1000000000)</f>
        <v>0</v>
      </c>
      <c r="X59" s="61">
        <f>(SUMIFS('MAIN DATA, Orders'!$M:$M,'MAIN DATA, Orders'!$Q:$Q,$A59,'MAIN DATA, Orders'!$C:$C,"Germany",'MAIN DATA, Orders'!$G:$G,"Development - Mine")/1000000000)</f>
        <v>0</v>
      </c>
      <c r="Y59" s="61">
        <f>(SUMIFS('MAIN DATA, Orders'!$M:$M,'MAIN DATA, Orders'!$Q:$Q,$A59,'MAIN DATA, Orders'!$C:$C,"Germany",'MAIN DATA, Orders'!$H:$H,"6")/1000000000)</f>
        <v>0.17799999999999999</v>
      </c>
      <c r="Z59" s="61" cm="1">
        <f t="array" ref="Z59">SUM(SUMIFS('MAIN DATA, Orders'!$M:$M,'MAIN DATA, Orders'!$Q:$Q,$A59,'MAIN DATA, Orders'!$C:$C,"Germany",'MAIN DATA, Orders'!$G:$G,{"Development - Missile (Land)","Development - Missile (Naval)","Development - Missile (Air)"})/1000000000)</f>
        <v>0</v>
      </c>
      <c r="AA59" s="61">
        <f>(SUMIFS('MAIN DATA, Orders'!$M:$M,'MAIN DATA, Orders'!$Q:$Q,$A59,'MAIN DATA, Orders'!$C:$C,"Germany",'MAIN DATA, Orders'!$G:$G,"Modernisation")/1000000000)</f>
        <v>0.1462</v>
      </c>
      <c r="AB59" s="61">
        <f>(SUMIFS('MAIN DATA, Orders'!$M:$M,'MAIN DATA, Orders'!$Q:$Q,$A59,'MAIN DATA, Orders'!$C:$C,"Germany",'MAIN DATA, Orders'!$G:$G,"Development - Modernisation")/1000000000)</f>
        <v>0</v>
      </c>
      <c r="AC59" s="61">
        <f>(SUMIFS('MAIN DATA, Orders'!$M:$M,'MAIN DATA, Orders'!$Q:$Q,$A59,'MAIN DATA, Orders'!$C:$C,"Germany",'MAIN DATA, Orders'!$G:$G,"Naval")/1000000000)</f>
        <v>1.2</v>
      </c>
      <c r="AD59" s="61">
        <f>(SUMIFS('MAIN DATA, Orders'!$M:$M,'MAIN DATA, Orders'!$Q:$Q,$A59,'MAIN DATA, Orders'!$C:$C,"Germany",'MAIN DATA, Orders'!$G:$G,"Development - Naval")/1000000000)</f>
        <v>0</v>
      </c>
      <c r="AE59" s="61">
        <f>(SUMIFS('MAIN DATA, Orders'!$M:$M,'MAIN DATA, Orders'!$Q:$Q,$A59,'MAIN DATA, Orders'!$C:$C,"Germany",'MAIN DATA, Orders'!$G:$G,"Other")/1000000000)</f>
        <v>0</v>
      </c>
      <c r="AF59" s="61">
        <f>(SUMIFS('MAIN DATA, Orders'!$M:$M,'MAIN DATA, Orders'!$Q:$Q,$A59,'MAIN DATA, Orders'!$C:$C,"Germany",'MAIN DATA, Orders'!$G:$G,"Development - Other")/1000000000)</f>
        <v>0</v>
      </c>
      <c r="AG59" s="61"/>
      <c r="AH59" s="61" cm="1">
        <f t="array" ref="AH59">SUM(SUMIFS('MAIN DATA, Orders'!$M:$M,'MAIN DATA, Orders'!$Q:$Q,$A59,'MAIN DATA, Orders'!$C:$C,"Germany",'MAIN DATA, Orders'!$G:$G,{"Missile (Land)","Development - Missile (Land)"})/1000000000)</f>
        <v>0</v>
      </c>
      <c r="AI59" s="61" cm="1">
        <f t="array" ref="AI59">SUM(SUMIFS('MAIN DATA, Orders'!$M:$M,'MAIN DATA, Orders'!$C:$C,"Germany",'MAIN DATA, Orders'!$G:$G,{"Missile (Air)","Development - Missile (Air)"},'MAIN DATA, Orders'!$Q:$Q,$A59)/1000000000)</f>
        <v>0.17799999999999999</v>
      </c>
      <c r="AJ59" s="61" cm="1">
        <f t="array" ref="AJ59">SUM(SUMIFS('MAIN DATA, Orders'!$M:$M,'MAIN DATA, Orders'!$Q:$Q,$A59,'MAIN DATA, Orders'!$C:$C,"Germany",'MAIN DATA, Orders'!$G:$G,{"Missile (Naval)","Development - Missile (Naval)"})/1000000000)</f>
        <v>0</v>
      </c>
    </row>
    <row r="60" spans="1:36">
      <c r="A60" s="72">
        <v>54</v>
      </c>
      <c r="B60" s="68">
        <v>45444</v>
      </c>
      <c r="C60" s="61">
        <f>(SUMIFS('MAIN DATA, Orders'!$M:$M,'MAIN DATA, Orders'!$Q:$Q,$A60,'MAIN DATA, Orders'!$C:$C,"Germany",'MAIN DATA, Orders'!$G:$G,"Air defence system")/1000000000)</f>
        <v>0</v>
      </c>
      <c r="D60" s="61">
        <f>(SUMIFS('MAIN DATA, Orders'!$M:$M,'MAIN DATA, Orders'!$Q:$Q,$A60,'MAIN DATA, Orders'!$C:$C,"Germany",'MAIN DATA, Orders'!$G:$G,"Development - Air defence system")/1000000000)</f>
        <v>0</v>
      </c>
      <c r="E60" s="61">
        <f>(SUMIFS('MAIN DATA, Orders'!$M:$M,'MAIN DATA, Orders'!$Q:$Q,$A60,'MAIN DATA, Orders'!$C:$C,"Germany",'MAIN DATA, Orders'!$G:$G,"Aircraft")/1000000000)</f>
        <v>6.6000000000000003E-2</v>
      </c>
      <c r="F60" s="61">
        <f>(SUMIFS('MAIN DATA, Orders'!$M:$M,'MAIN DATA, Orders'!$Q:$Q,$A60,'MAIN DATA, Orders'!$C:$C,"Germany",'MAIN DATA, Orders'!$G:$G,"Development - Aircraft")/1000000000)</f>
        <v>0</v>
      </c>
      <c r="G60" s="61">
        <f>(SUMIFS('MAIN DATA, Orders'!$M:$M,'MAIN DATA, Orders'!$Q:$Q,$A60,'MAIN DATA, Orders'!$C:$C,"Germany",'MAIN DATA, Orders'!$G:$G,"Ammunition")/1000000000)</f>
        <v>0.88</v>
      </c>
      <c r="H60" s="61">
        <f>(SUMIFS('MAIN DATA, Orders'!$M:$M,'MAIN DATA, Orders'!$Q:$Q,$A60,'MAIN DATA, Orders'!$C:$C,"Germany",'MAIN DATA, Orders'!$G:$G,"Development - Ammunition")/1000000000)</f>
        <v>0</v>
      </c>
      <c r="I60" s="61">
        <f>(SUMIFS('MAIN DATA, Orders'!$M:$M,'MAIN DATA, Orders'!$Q:$Q,$A60,'MAIN DATA, Orders'!$C:$C,"Germany",'MAIN DATA, Orders'!$G:$G,"Armoured vehicle")/1000000000)</f>
        <v>8.5999999999999993E-2</v>
      </c>
      <c r="J60" s="61">
        <f>(SUMIFS('MAIN DATA, Orders'!$M:$M,'MAIN DATA, Orders'!$Q:$Q,$A60,'MAIN DATA, Orders'!$C:$C,"Germany",'MAIN DATA, Orders'!$G:$G,"Development - Armoured vehicle")/1000000000)</f>
        <v>0</v>
      </c>
      <c r="K60" s="61">
        <f>(SUMIFS('MAIN DATA, Orders'!$M:$M,'MAIN DATA, Orders'!$Q:$Q,$A60,'MAIN DATA, Orders'!$C:$C,"Germany",'MAIN DATA, Orders'!$G:$G,"Artillery")/1000000000)</f>
        <v>0</v>
      </c>
      <c r="L60" s="61">
        <f>(SUMIFS('MAIN DATA, Orders'!$M:$M,'MAIN DATA, Orders'!$Q:$Q,$A60,'MAIN DATA, Orders'!$C:$C,"Germany",'MAIN DATA, Orders'!$G:$G,"Development - Artillery")/1000000000)</f>
        <v>0</v>
      </c>
      <c r="M60" s="61">
        <f>(SUMIFS('MAIN DATA, Orders'!$M:$M,'MAIN DATA, Orders'!$Q:$Q,$A60,'MAIN DATA, Orders'!$C:$C,"Germany",'MAIN DATA, Orders'!$G:$G,"Drone")/1000000000)</f>
        <v>0</v>
      </c>
      <c r="N60" s="61">
        <f>(SUMIFS('MAIN DATA, Orders'!$M:$M,'MAIN DATA, Orders'!$Q:$Q,$A60,'MAIN DATA, Orders'!$C:$C,"Germany",'MAIN DATA, Orders'!$G:$G,"Development - Drone")/1000000000)</f>
        <v>0</v>
      </c>
      <c r="O60" s="61">
        <f>(SUMIFS('MAIN DATA, Orders'!$M:$M,'MAIN DATA, Orders'!$Q:$Q,$A60,'MAIN DATA, Orders'!$C:$C,"Germany",'MAIN DATA, Orders'!$G:$G,"Helicopter")/1000000000)</f>
        <v>0</v>
      </c>
      <c r="P60" s="61">
        <f>(SUMIFS('MAIN DATA, Orders'!$M:$M,'MAIN DATA, Orders'!$Q:$Q,$A60,'MAIN DATA, Orders'!$C:$C,"Germany",'MAIN DATA, Orders'!$G:$G,"Development - Helicopter")/1000000000)</f>
        <v>0</v>
      </c>
      <c r="Q60" s="61">
        <f>(SUMIFS('MAIN DATA, Orders'!$M:$M,'MAIN DATA, Orders'!$Q:$Q,$A60,'MAIN DATA, Orders'!$C:$C,"Germany",'MAIN DATA, Orders'!$G:$G,"Infantry")/1000000000)</f>
        <v>0.105</v>
      </c>
      <c r="R60" s="61">
        <f>(SUMIFS('MAIN DATA, Orders'!$M:$M,'MAIN DATA, Orders'!$Q:$Q,$A60,'MAIN DATA, Orders'!$C:$C,"Germany",'MAIN DATA, Orders'!$G:$G,"Development - Infantry")/1000000000)</f>
        <v>0</v>
      </c>
      <c r="S60" s="61">
        <f>(SUMIFS('MAIN DATA, Orders'!$M:$M,'MAIN DATA, Orders'!$Q:$Q,$A60,'MAIN DATA, Orders'!$C:$C,"Germany",'MAIN DATA, Orders'!$G:$G,"Tank")/1000000000)</f>
        <v>0</v>
      </c>
      <c r="T60" s="61">
        <f>(SUMIFS('MAIN DATA, Orders'!$M:$M,'MAIN DATA, Orders'!$Q:$Q,$A60,'MAIN DATA, Orders'!$C:$C,"Germany",'MAIN DATA, Orders'!$G:$G,"Development - Tank")/1000000000)</f>
        <v>0</v>
      </c>
      <c r="U60" s="61">
        <f>(SUMIFS('MAIN DATA, Orders'!$M:$M,'MAIN DATA, Orders'!$Q:$Q,$A60,'MAIN DATA, Orders'!$C:$C,"Germany",'MAIN DATA, Orders'!$G:$G,"Maintenance")/1000000000)</f>
        <v>0</v>
      </c>
      <c r="V60" s="61">
        <f>(SUMIFS('MAIN DATA, Orders'!$M:$M,'MAIN DATA, Orders'!$Q:$Q,$A60,'MAIN DATA, Orders'!$C:$C,"Germany",'MAIN DATA, Orders'!$G:$G,"Development - Maintenance")/1000000000)</f>
        <v>0</v>
      </c>
      <c r="W60" s="61">
        <f>(SUMIFS('MAIN DATA, Orders'!$M:$M,'MAIN DATA, Orders'!$Q:$Q,$A60,'MAIN DATA, Orders'!$C:$C,"Germany",'MAIN DATA, Orders'!$G:$G,"Mine")/1000000000)</f>
        <v>0</v>
      </c>
      <c r="X60" s="61">
        <f>(SUMIFS('MAIN DATA, Orders'!$M:$M,'MAIN DATA, Orders'!$Q:$Q,$A60,'MAIN DATA, Orders'!$C:$C,"Germany",'MAIN DATA, Orders'!$G:$G,"Development - Mine")/1000000000)</f>
        <v>0</v>
      </c>
      <c r="Y60" s="61">
        <f>(SUMIFS('MAIN DATA, Orders'!$M:$M,'MAIN DATA, Orders'!$Q:$Q,$A60,'MAIN DATA, Orders'!$C:$C,"Germany",'MAIN DATA, Orders'!$H:$H,"6")/1000000000)</f>
        <v>0.77100000000000002</v>
      </c>
      <c r="Z60" s="61" cm="1">
        <f t="array" ref="Z60">SUM(SUMIFS('MAIN DATA, Orders'!$M:$M,'MAIN DATA, Orders'!$Q:$Q,$A60,'MAIN DATA, Orders'!$C:$C,"Germany",'MAIN DATA, Orders'!$G:$G,{"Development - Missile (Land)","Development - Missile (Naval)","Development - Missile (Air)"})/1000000000)</f>
        <v>0.224</v>
      </c>
      <c r="AA60" s="61">
        <f>(SUMIFS('MAIN DATA, Orders'!$M:$M,'MAIN DATA, Orders'!$Q:$Q,$A60,'MAIN DATA, Orders'!$C:$C,"Germany",'MAIN DATA, Orders'!$G:$G,"Modernisation")/1000000000)</f>
        <v>2.2000000000000002</v>
      </c>
      <c r="AB60" s="61">
        <f>(SUMIFS('MAIN DATA, Orders'!$M:$M,'MAIN DATA, Orders'!$Q:$Q,$A60,'MAIN DATA, Orders'!$C:$C,"Germany",'MAIN DATA, Orders'!$G:$G,"Development - Modernisation")/1000000000)</f>
        <v>0</v>
      </c>
      <c r="AC60" s="61">
        <f>(SUMIFS('MAIN DATA, Orders'!$M:$M,'MAIN DATA, Orders'!$Q:$Q,$A60,'MAIN DATA, Orders'!$C:$C,"Germany",'MAIN DATA, Orders'!$G:$G,"Naval")/1000000000)</f>
        <v>3.8279999999999998</v>
      </c>
      <c r="AD60" s="61">
        <f>(SUMIFS('MAIN DATA, Orders'!$M:$M,'MAIN DATA, Orders'!$Q:$Q,$A60,'MAIN DATA, Orders'!$C:$C,"Germany",'MAIN DATA, Orders'!$G:$G,"Development - Naval")/1000000000)</f>
        <v>0</v>
      </c>
      <c r="AE60" s="61">
        <f>(SUMIFS('MAIN DATA, Orders'!$M:$M,'MAIN DATA, Orders'!$Q:$Q,$A60,'MAIN DATA, Orders'!$C:$C,"Germany",'MAIN DATA, Orders'!$G:$G,"Other")/1000000000)</f>
        <v>1.3169999999999999</v>
      </c>
      <c r="AF60" s="61">
        <f>(SUMIFS('MAIN DATA, Orders'!$M:$M,'MAIN DATA, Orders'!$Q:$Q,$A60,'MAIN DATA, Orders'!$C:$C,"Germany",'MAIN DATA, Orders'!$G:$G,"Development - Other")/1000000000)</f>
        <v>0</v>
      </c>
      <c r="AG60" s="61"/>
      <c r="AH60" s="61" cm="1">
        <f t="array" ref="AH60">SUM(SUMIFS('MAIN DATA, Orders'!$M:$M,'MAIN DATA, Orders'!$Q:$Q,$A60,'MAIN DATA, Orders'!$C:$C,"Germany",'MAIN DATA, Orders'!$G:$G,{"Missile (Land)","Development - Missile (Land)"})/1000000000)</f>
        <v>0.39500000000000002</v>
      </c>
      <c r="AI60" s="61" cm="1">
        <f t="array" ref="AI60">SUM(SUMIFS('MAIN DATA, Orders'!$M:$M,'MAIN DATA, Orders'!$C:$C,"Germany",'MAIN DATA, Orders'!$G:$G,{"Missile (Air)","Development - Missile (Air)"},'MAIN DATA, Orders'!$Q:$Q,$A60)/1000000000)</f>
        <v>0.376</v>
      </c>
      <c r="AJ60" s="61" cm="1">
        <f t="array" ref="AJ60">SUM(SUMIFS('MAIN DATA, Orders'!$M:$M,'MAIN DATA, Orders'!$Q:$Q,$A60,'MAIN DATA, Orders'!$C:$C,"Germany",'MAIN DATA, Orders'!$G:$G,{"Missile (Naval)","Development - Missile (Naval)"})/1000000000)</f>
        <v>0.224</v>
      </c>
    </row>
    <row r="61" spans="1:36">
      <c r="A61" s="72">
        <v>55</v>
      </c>
      <c r="B61" s="155">
        <v>45474</v>
      </c>
      <c r="C61" s="159">
        <f>(SUMIFS('MAIN DATA, Orders'!$M:$M,'MAIN DATA, Orders'!$Q:$Q,$A61,'MAIN DATA, Orders'!$C:$C,"Germany",'MAIN DATA, Orders'!$G:$G,"Air defence system")/1000000000)</f>
        <v>1.4</v>
      </c>
      <c r="D61" s="159">
        <f>(SUMIFS('MAIN DATA, Orders'!$M:$M,'MAIN DATA, Orders'!$Q:$Q,$A61,'MAIN DATA, Orders'!$C:$C,"Germany",'MAIN DATA, Orders'!$G:$G,"Development - Air defence system")/1000000000)</f>
        <v>0</v>
      </c>
      <c r="E61" s="159">
        <f>(SUMIFS('MAIN DATA, Orders'!$M:$M,'MAIN DATA, Orders'!$Q:$Q,$A61,'MAIN DATA, Orders'!$C:$C,"Germany",'MAIN DATA, Orders'!$G:$G,"Aircraft")/1000000000)</f>
        <v>0</v>
      </c>
      <c r="F61" s="159">
        <f>(SUMIFS('MAIN DATA, Orders'!$M:$M,'MAIN DATA, Orders'!$Q:$Q,$A61,'MAIN DATA, Orders'!$C:$C,"Germany",'MAIN DATA, Orders'!$G:$G,"Development - Aircraft")/1000000000)</f>
        <v>0</v>
      </c>
      <c r="G61" s="159">
        <f>(SUMIFS('MAIN DATA, Orders'!$M:$M,'MAIN DATA, Orders'!$Q:$Q,$A61,'MAIN DATA, Orders'!$C:$C,"Germany",'MAIN DATA, Orders'!$G:$G,"Ammunition")/1000000000)</f>
        <v>1.3</v>
      </c>
      <c r="H61" s="159">
        <f>(SUMIFS('MAIN DATA, Orders'!$M:$M,'MAIN DATA, Orders'!$Q:$Q,$A61,'MAIN DATA, Orders'!$C:$C,"Germany",'MAIN DATA, Orders'!$G:$G,"Development - Ammunition")/1000000000)</f>
        <v>0</v>
      </c>
      <c r="I61" s="159">
        <f>(SUMIFS('MAIN DATA, Orders'!$M:$M,'MAIN DATA, Orders'!$Q:$Q,$A61,'MAIN DATA, Orders'!$C:$C,"Germany",'MAIN DATA, Orders'!$G:$G,"Armoured vehicle")/1000000000)</f>
        <v>0</v>
      </c>
      <c r="J61" s="159">
        <f>(SUMIFS('MAIN DATA, Orders'!$M:$M,'MAIN DATA, Orders'!$Q:$Q,$A61,'MAIN DATA, Orders'!$C:$C,"Germany",'MAIN DATA, Orders'!$G:$G,"Development - Armoured vehicle")/1000000000)</f>
        <v>0</v>
      </c>
      <c r="K61" s="159">
        <f>(SUMIFS('MAIN DATA, Orders'!$M:$M,'MAIN DATA, Orders'!$Q:$Q,$A61,'MAIN DATA, Orders'!$C:$C,"Germany",'MAIN DATA, Orders'!$G:$G,"Artillery")/1000000000)</f>
        <v>0</v>
      </c>
      <c r="L61" s="159">
        <f>(SUMIFS('MAIN DATA, Orders'!$M:$M,'MAIN DATA, Orders'!$Q:$Q,$A61,'MAIN DATA, Orders'!$C:$C,"Germany",'MAIN DATA, Orders'!$G:$G,"Development - Artillery")/1000000000)</f>
        <v>0</v>
      </c>
      <c r="M61" s="159">
        <f>(SUMIFS('MAIN DATA, Orders'!$M:$M,'MAIN DATA, Orders'!$Q:$Q,$A61,'MAIN DATA, Orders'!$C:$C,"Germany",'MAIN DATA, Orders'!$G:$G,"Drone")/1000000000)</f>
        <v>0</v>
      </c>
      <c r="N61" s="159">
        <f>(SUMIFS('MAIN DATA, Orders'!$M:$M,'MAIN DATA, Orders'!$Q:$Q,$A61,'MAIN DATA, Orders'!$C:$C,"Germany",'MAIN DATA, Orders'!$G:$G,"Development - Drone")/1000000000)</f>
        <v>0</v>
      </c>
      <c r="O61" s="159">
        <f>(SUMIFS('MAIN DATA, Orders'!$M:$M,'MAIN DATA, Orders'!$Q:$Q,$A61,'MAIN DATA, Orders'!$C:$C,"Germany",'MAIN DATA, Orders'!$G:$G,"Helicopter")/1000000000)</f>
        <v>0</v>
      </c>
      <c r="P61" s="159">
        <f>(SUMIFS('MAIN DATA, Orders'!$M:$M,'MAIN DATA, Orders'!$Q:$Q,$A61,'MAIN DATA, Orders'!$C:$C,"Germany",'MAIN DATA, Orders'!$G:$G,"Development - Helicopter")/1000000000)</f>
        <v>0</v>
      </c>
      <c r="Q61" s="159">
        <f>(SUMIFS('MAIN DATA, Orders'!$M:$M,'MAIN DATA, Orders'!$Q:$Q,$A61,'MAIN DATA, Orders'!$C:$C,"Germany",'MAIN DATA, Orders'!$G:$G,"Infantry")/1000000000)</f>
        <v>0.45200000000000001</v>
      </c>
      <c r="R61" s="159">
        <f>(SUMIFS('MAIN DATA, Orders'!$M:$M,'MAIN DATA, Orders'!$Q:$Q,$A61,'MAIN DATA, Orders'!$C:$C,"Germany",'MAIN DATA, Orders'!$G:$G,"Development - Infantry")/1000000000)</f>
        <v>0</v>
      </c>
      <c r="S61" s="159">
        <f>(SUMIFS('MAIN DATA, Orders'!$M:$M,'MAIN DATA, Orders'!$Q:$Q,$A61,'MAIN DATA, Orders'!$C:$C,"Germany",'MAIN DATA, Orders'!$G:$G,"Tank")/1000000000)</f>
        <v>2.9</v>
      </c>
      <c r="T61" s="159">
        <f>(SUMIFS('MAIN DATA, Orders'!$M:$M,'MAIN DATA, Orders'!$Q:$Q,$A61,'MAIN DATA, Orders'!$C:$C,"Germany",'MAIN DATA, Orders'!$G:$G,"Development - Tank")/1000000000)</f>
        <v>0</v>
      </c>
      <c r="U61" s="159">
        <f>(SUMIFS('MAIN DATA, Orders'!$M:$M,'MAIN DATA, Orders'!$Q:$Q,$A61,'MAIN DATA, Orders'!$C:$C,"Germany",'MAIN DATA, Orders'!$G:$G,"Maintenance")/1000000000)</f>
        <v>0</v>
      </c>
      <c r="V61" s="159">
        <f>(SUMIFS('MAIN DATA, Orders'!$M:$M,'MAIN DATA, Orders'!$Q:$Q,$A61,'MAIN DATA, Orders'!$C:$C,"Germany",'MAIN DATA, Orders'!$G:$G,"Development - Maintenance")/1000000000)</f>
        <v>0</v>
      </c>
      <c r="W61" s="159">
        <f>(SUMIFS('MAIN DATA, Orders'!$M:$M,'MAIN DATA, Orders'!$Q:$Q,$A61,'MAIN DATA, Orders'!$C:$C,"Germany",'MAIN DATA, Orders'!$G:$G,"Mine")/1000000000)</f>
        <v>0</v>
      </c>
      <c r="X61" s="159">
        <f>(SUMIFS('MAIN DATA, Orders'!$M:$M,'MAIN DATA, Orders'!$Q:$Q,$A61,'MAIN DATA, Orders'!$C:$C,"Germany",'MAIN DATA, Orders'!$G:$G,"Development - Mine")/1000000000)</f>
        <v>0</v>
      </c>
      <c r="Y61" s="159">
        <f>(SUMIFS('MAIN DATA, Orders'!$M:$M,'MAIN DATA, Orders'!$Q:$Q,$A61,'MAIN DATA, Orders'!$C:$C,"Germany",'MAIN DATA, Orders'!$H:$H,"6")/1000000000)</f>
        <v>0.2</v>
      </c>
      <c r="Z61" s="159" cm="1">
        <f t="array" ref="Z61">SUM(SUMIFS('MAIN DATA, Orders'!$M:$M,'MAIN DATA, Orders'!$Q:$Q,$A61,'MAIN DATA, Orders'!$C:$C,"Germany",'MAIN DATA, Orders'!$G:$G,{"Development - Missile (Land)","Development - Missile (Naval)","Development - Missile (Air)"})/1000000000)</f>
        <v>0</v>
      </c>
      <c r="AA61" s="159">
        <f>(SUMIFS('MAIN DATA, Orders'!$M:$M,'MAIN DATA, Orders'!$Q:$Q,$A61,'MAIN DATA, Orders'!$C:$C,"Germany",'MAIN DATA, Orders'!$G:$G,"Modernisation")/1000000000)</f>
        <v>6.7000000000000004E-2</v>
      </c>
      <c r="AB61" s="159">
        <f>(SUMIFS('MAIN DATA, Orders'!$M:$M,'MAIN DATA, Orders'!$Q:$Q,$A61,'MAIN DATA, Orders'!$C:$C,"Germany",'MAIN DATA, Orders'!$G:$G,"Development - Modernisation")/1000000000)</f>
        <v>0</v>
      </c>
      <c r="AC61" s="159">
        <f>(SUMIFS('MAIN DATA, Orders'!$M:$M,'MAIN DATA, Orders'!$Q:$Q,$A61,'MAIN DATA, Orders'!$C:$C,"Germany",'MAIN DATA, Orders'!$G:$G,"Naval")/1000000000)</f>
        <v>0</v>
      </c>
      <c r="AD61" s="159">
        <f>(SUMIFS('MAIN DATA, Orders'!$M:$M,'MAIN DATA, Orders'!$Q:$Q,$A61,'MAIN DATA, Orders'!$C:$C,"Germany",'MAIN DATA, Orders'!$G:$G,"Development - Naval")/1000000000)</f>
        <v>0</v>
      </c>
      <c r="AE61" s="159">
        <f>(SUMIFS('MAIN DATA, Orders'!$M:$M,'MAIN DATA, Orders'!$Q:$Q,$A61,'MAIN DATA, Orders'!$C:$C,"Germany",'MAIN DATA, Orders'!$G:$G,"Other")/1000000000)</f>
        <v>0</v>
      </c>
      <c r="AF61" s="159">
        <f>(SUMIFS('MAIN DATA, Orders'!$M:$M,'MAIN DATA, Orders'!$Q:$Q,$A61,'MAIN DATA, Orders'!$C:$C,"Germany",'MAIN DATA, Orders'!$G:$G,"Development - Other")/1000000000)</f>
        <v>0</v>
      </c>
      <c r="AG61" s="159"/>
      <c r="AH61" s="159" cm="1">
        <f t="array" ref="AH61">SUM(SUMIFS('MAIN DATA, Orders'!$M:$M,'MAIN DATA, Orders'!$Q:$Q,$A61,'MAIN DATA, Orders'!$C:$C,"Germany",'MAIN DATA, Orders'!$G:$G,{"Missile (Land)","Development - Missile (Land)"})/1000000000)</f>
        <v>0.2</v>
      </c>
      <c r="AI61" s="159" cm="1">
        <f t="array" ref="AI61">SUM(SUMIFS('MAIN DATA, Orders'!$M:$M,'MAIN DATA, Orders'!$C:$C,"Germany",'MAIN DATA, Orders'!$G:$G,{"Missile (Air)","Development - Missile (Air)"},'MAIN DATA, Orders'!$Q:$Q,$A61)/1000000000)</f>
        <v>0</v>
      </c>
      <c r="AJ61" s="159" cm="1">
        <f t="array" ref="AJ61">SUM(SUMIFS('MAIN DATA, Orders'!$M:$M,'MAIN DATA, Orders'!$Q:$Q,$A61,'MAIN DATA, Orders'!$C:$C,"Germany",'MAIN DATA, Orders'!$G:$G,{"Missile (Naval)","Development - Missile (Naval)"})/1000000000)</f>
        <v>0</v>
      </c>
    </row>
    <row r="62" spans="1:36">
      <c r="A62" s="199"/>
      <c r="B62" s="199"/>
      <c r="C62" s="199"/>
      <c r="D62" s="199"/>
      <c r="E62" s="61"/>
      <c r="F62" s="199"/>
      <c r="G62" s="199"/>
      <c r="H62" s="199"/>
      <c r="I62" s="199"/>
      <c r="J62" s="199"/>
      <c r="K62" s="199"/>
      <c r="L62" s="199"/>
      <c r="M62" s="199"/>
      <c r="N62" s="199"/>
      <c r="O62" s="199"/>
      <c r="P62" s="199"/>
      <c r="Q62" s="199"/>
      <c r="R62" s="199"/>
      <c r="S62" s="199"/>
      <c r="T62" s="199"/>
      <c r="U62" s="199"/>
      <c r="V62" s="199"/>
      <c r="W62" s="199"/>
      <c r="X62" s="199"/>
      <c r="Y62" s="199"/>
      <c r="Z62" s="199"/>
      <c r="AA62" s="199"/>
      <c r="AB62" s="199"/>
      <c r="AC62" s="199"/>
      <c r="AD62" s="199"/>
      <c r="AE62" s="199"/>
      <c r="AF62" s="199"/>
      <c r="AG62" s="199"/>
      <c r="AH62" s="199"/>
      <c r="AI62" s="199"/>
      <c r="AJ62" s="199"/>
    </row>
    <row r="63" spans="1:36">
      <c r="A63" s="199"/>
      <c r="B63" s="19" t="s">
        <v>1431</v>
      </c>
      <c r="C63" s="69">
        <f>SUM(C7:C61)</f>
        <v>8.4395000000000007</v>
      </c>
      <c r="D63" s="69">
        <f t="shared" ref="D63:AJ63" si="0">SUM(D7:D61)</f>
        <v>1.23</v>
      </c>
      <c r="E63" s="69">
        <f t="shared" si="0"/>
        <v>18.889299999999999</v>
      </c>
      <c r="F63" s="69">
        <f t="shared" si="0"/>
        <v>5.0387000000000013</v>
      </c>
      <c r="G63" s="69">
        <f t="shared" si="0"/>
        <v>3.4039999999999999</v>
      </c>
      <c r="H63" s="69">
        <f t="shared" si="0"/>
        <v>9.74E-2</v>
      </c>
      <c r="I63" s="69">
        <f t="shared" si="0"/>
        <v>8.2302</v>
      </c>
      <c r="J63" s="69">
        <f t="shared" si="0"/>
        <v>7.0000000000000007E-2</v>
      </c>
      <c r="K63" s="69">
        <f t="shared" si="0"/>
        <v>0.37470000000000003</v>
      </c>
      <c r="L63" s="69">
        <f t="shared" si="0"/>
        <v>0</v>
      </c>
      <c r="M63" s="69">
        <f t="shared" si="0"/>
        <v>0.38009999999999999</v>
      </c>
      <c r="N63" s="69">
        <f t="shared" si="0"/>
        <v>3.1</v>
      </c>
      <c r="O63" s="69">
        <f t="shared" si="0"/>
        <v>10.006000000000002</v>
      </c>
      <c r="P63" s="69">
        <f t="shared" si="0"/>
        <v>0</v>
      </c>
      <c r="Q63" s="69">
        <f t="shared" si="0"/>
        <v>0.96700000000000008</v>
      </c>
      <c r="R63" s="69">
        <f t="shared" si="0"/>
        <v>0</v>
      </c>
      <c r="S63" s="69">
        <f t="shared" si="0"/>
        <v>3.6175999999999999</v>
      </c>
      <c r="T63" s="69">
        <f t="shared" si="0"/>
        <v>0</v>
      </c>
      <c r="U63" s="69">
        <f t="shared" si="0"/>
        <v>14.56556</v>
      </c>
      <c r="V63" s="69">
        <f t="shared" si="0"/>
        <v>0</v>
      </c>
      <c r="W63" s="69">
        <f t="shared" si="0"/>
        <v>6.8000000000000005E-2</v>
      </c>
      <c r="X63" s="69">
        <f t="shared" si="0"/>
        <v>0</v>
      </c>
      <c r="Y63" s="69">
        <f t="shared" si="0"/>
        <v>6.1190000000000007</v>
      </c>
      <c r="Z63" s="69">
        <f t="shared" si="0"/>
        <v>0.25890000000000002</v>
      </c>
      <c r="AA63" s="69">
        <f t="shared" si="0"/>
        <v>25.860429999999997</v>
      </c>
      <c r="AB63" s="69">
        <f t="shared" si="0"/>
        <v>0.11700000000000001</v>
      </c>
      <c r="AC63" s="69">
        <f t="shared" si="0"/>
        <v>23.442477999999998</v>
      </c>
      <c r="AD63" s="69">
        <f t="shared" si="0"/>
        <v>0</v>
      </c>
      <c r="AE63" s="69">
        <f t="shared" si="0"/>
        <v>3.3671999999999995</v>
      </c>
      <c r="AF63" s="69">
        <f t="shared" si="0"/>
        <v>0</v>
      </c>
      <c r="AG63" s="69"/>
      <c r="AH63" s="69">
        <f t="shared" si="0"/>
        <v>3.835</v>
      </c>
      <c r="AI63" s="69">
        <f t="shared" si="0"/>
        <v>0.69689999999999996</v>
      </c>
      <c r="AJ63" s="69">
        <f t="shared" si="0"/>
        <v>1.8459999999999999</v>
      </c>
    </row>
  </sheetData>
  <sortState xmlns:xlrd2="http://schemas.microsoft.com/office/spreadsheetml/2017/richdata2" ref="F69:F84">
    <sortCondition ref="F84"/>
  </sortState>
  <mergeCells count="1">
    <mergeCell ref="B4:G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D9C98-207B-421F-B609-2B7CA764F96E}">
  <sheetPr>
    <tabColor theme="5" tint="0.39997558519241921"/>
  </sheetPr>
  <dimension ref="B2:E203"/>
  <sheetViews>
    <sheetView workbookViewId="0">
      <selection activeCell="A2" sqref="A2:XFD2"/>
    </sheetView>
  </sheetViews>
  <sheetFormatPr defaultColWidth="8.69921875" defaultRowHeight="15.6" customHeight="1"/>
  <cols>
    <col min="1" max="1" width="8.69921875" style="1"/>
    <col min="2" max="2" width="61.19921875" style="1" customWidth="1"/>
    <col min="3" max="3" width="34.59765625" style="1" customWidth="1"/>
    <col min="4" max="4" width="20.19921875" style="1" customWidth="1"/>
    <col min="5" max="5" width="16.69921875" style="1" bestFit="1" customWidth="1"/>
    <col min="6" max="6" width="8.69921875" style="1"/>
    <col min="7" max="7" width="12.19921875" style="1" customWidth="1"/>
    <col min="8" max="8" width="18.69921875" style="1" customWidth="1"/>
    <col min="9" max="16384" width="8.69921875" style="1"/>
  </cols>
  <sheetData>
    <row r="2" spans="2:5" ht="21" customHeight="1">
      <c r="B2" s="73" t="s">
        <v>1432</v>
      </c>
    </row>
    <row r="4" spans="2:5" ht="15.6" customHeight="1">
      <c r="B4" s="217" t="s">
        <v>1433</v>
      </c>
      <c r="C4" s="217"/>
      <c r="D4" s="217"/>
      <c r="E4" s="217"/>
    </row>
    <row r="5" spans="2:5" ht="15.6" customHeight="1">
      <c r="B5" s="217"/>
      <c r="C5" s="217"/>
      <c r="D5" s="217"/>
      <c r="E5" s="217"/>
    </row>
    <row r="6" spans="2:5" ht="15.6" customHeight="1">
      <c r="B6" s="217"/>
      <c r="C6" s="217"/>
      <c r="D6" s="217"/>
      <c r="E6" s="217"/>
    </row>
    <row r="7" spans="2:5" ht="15.6" customHeight="1">
      <c r="B7" s="217"/>
      <c r="C7" s="217"/>
      <c r="D7" s="217"/>
      <c r="E7" s="217"/>
    </row>
    <row r="9" spans="2:5" ht="15.6" customHeight="1">
      <c r="B9" s="165" t="s">
        <v>1395</v>
      </c>
      <c r="C9" s="165" t="s">
        <v>1396</v>
      </c>
      <c r="D9" s="165" t="s">
        <v>1397</v>
      </c>
      <c r="E9" s="165" t="s">
        <v>1398</v>
      </c>
    </row>
    <row r="10" spans="2:5" ht="15.6" customHeight="1">
      <c r="B10" s="199" t="s">
        <v>164</v>
      </c>
      <c r="C10" s="199" t="s">
        <v>1434</v>
      </c>
      <c r="D10" s="199" t="s">
        <v>1413</v>
      </c>
      <c r="E10" s="97">
        <v>7</v>
      </c>
    </row>
    <row r="11" spans="2:5" ht="15.6" customHeight="1">
      <c r="B11" s="199" t="s">
        <v>174</v>
      </c>
      <c r="C11" s="98" t="s">
        <v>1435</v>
      </c>
      <c r="D11" s="199" t="s">
        <v>1426</v>
      </c>
      <c r="E11" s="97">
        <v>12</v>
      </c>
    </row>
    <row r="12" spans="2:5" ht="15.6" customHeight="1">
      <c r="B12" s="199" t="s">
        <v>187</v>
      </c>
      <c r="C12" s="98" t="s">
        <v>1436</v>
      </c>
      <c r="D12" s="199" t="s">
        <v>212</v>
      </c>
      <c r="E12" s="97">
        <v>11</v>
      </c>
    </row>
    <row r="13" spans="2:5" ht="15.6" customHeight="1">
      <c r="B13" s="199" t="s">
        <v>195</v>
      </c>
      <c r="C13" s="98" t="s">
        <v>1437</v>
      </c>
      <c r="D13" s="199" t="s">
        <v>645</v>
      </c>
      <c r="E13" s="97">
        <v>13</v>
      </c>
    </row>
    <row r="14" spans="2:5" ht="15.6" customHeight="1">
      <c r="B14" s="199" t="s">
        <v>199</v>
      </c>
      <c r="C14" s="98" t="s">
        <v>1437</v>
      </c>
      <c r="D14" s="199" t="s">
        <v>645</v>
      </c>
      <c r="E14" s="97">
        <v>13</v>
      </c>
    </row>
    <row r="15" spans="2:5" ht="15.6" customHeight="1">
      <c r="B15" s="199" t="s">
        <v>206</v>
      </c>
      <c r="C15" s="98" t="s">
        <v>1437</v>
      </c>
      <c r="D15" s="199" t="s">
        <v>645</v>
      </c>
      <c r="E15" s="97">
        <v>13</v>
      </c>
    </row>
    <row r="16" spans="2:5" ht="15.6" customHeight="1">
      <c r="B16" s="199" t="s">
        <v>223</v>
      </c>
      <c r="C16" s="98" t="s">
        <v>211</v>
      </c>
      <c r="D16" s="199" t="s">
        <v>212</v>
      </c>
      <c r="E16" s="97">
        <v>11</v>
      </c>
    </row>
    <row r="17" spans="2:5" ht="15.6" customHeight="1">
      <c r="B17" s="199" t="s">
        <v>225</v>
      </c>
      <c r="C17" s="98" t="s">
        <v>211</v>
      </c>
      <c r="D17" s="199" t="s">
        <v>212</v>
      </c>
      <c r="E17" s="97">
        <v>11</v>
      </c>
    </row>
    <row r="18" spans="2:5" ht="15.6" customHeight="1">
      <c r="B18" s="199" t="s">
        <v>227</v>
      </c>
      <c r="C18" s="98" t="s">
        <v>211</v>
      </c>
      <c r="D18" s="199" t="s">
        <v>212</v>
      </c>
      <c r="E18" s="97">
        <v>11</v>
      </c>
    </row>
    <row r="19" spans="2:5" ht="15.6" customHeight="1">
      <c r="B19" s="199" t="s">
        <v>230</v>
      </c>
      <c r="C19" s="98" t="s">
        <v>1438</v>
      </c>
      <c r="D19" s="199" t="s">
        <v>1430</v>
      </c>
      <c r="E19" s="97">
        <v>6</v>
      </c>
    </row>
    <row r="20" spans="2:5" ht="15.6" customHeight="1">
      <c r="B20" s="199" t="s">
        <v>236</v>
      </c>
      <c r="C20" s="98" t="s">
        <v>1439</v>
      </c>
      <c r="D20" s="199" t="s">
        <v>1430</v>
      </c>
      <c r="E20" s="97">
        <v>6</v>
      </c>
    </row>
    <row r="21" spans="2:5" ht="15.6" customHeight="1">
      <c r="B21" s="199" t="s">
        <v>239</v>
      </c>
      <c r="C21" s="98" t="s">
        <v>644</v>
      </c>
      <c r="D21" s="199" t="s">
        <v>645</v>
      </c>
      <c r="E21" s="97">
        <v>13</v>
      </c>
    </row>
    <row r="22" spans="2:5" ht="15.6" customHeight="1">
      <c r="B22" s="199" t="s">
        <v>245</v>
      </c>
      <c r="C22" s="98" t="s">
        <v>1440</v>
      </c>
      <c r="D22" s="199" t="s">
        <v>296</v>
      </c>
      <c r="E22" s="97">
        <v>16</v>
      </c>
    </row>
    <row r="23" spans="2:5" ht="15.6" customHeight="1">
      <c r="B23" s="199" t="s">
        <v>251</v>
      </c>
      <c r="C23" s="98" t="s">
        <v>1441</v>
      </c>
      <c r="D23" s="199" t="s">
        <v>212</v>
      </c>
      <c r="E23" s="97">
        <v>11</v>
      </c>
    </row>
    <row r="24" spans="2:5" ht="15.6" customHeight="1">
      <c r="B24" s="199" t="s">
        <v>259</v>
      </c>
      <c r="C24" s="98" t="s">
        <v>1442</v>
      </c>
      <c r="D24" s="199" t="s">
        <v>1426</v>
      </c>
      <c r="E24" s="97">
        <v>12</v>
      </c>
    </row>
    <row r="25" spans="2:5" ht="15.6" customHeight="1">
      <c r="B25" s="199" t="s">
        <v>267</v>
      </c>
      <c r="C25" s="98" t="s">
        <v>979</v>
      </c>
      <c r="D25" s="199" t="s">
        <v>965</v>
      </c>
      <c r="E25" s="97">
        <v>4</v>
      </c>
    </row>
    <row r="26" spans="2:5" ht="15.6" customHeight="1">
      <c r="B26" s="199" t="s">
        <v>273</v>
      </c>
      <c r="C26" s="98" t="s">
        <v>1443</v>
      </c>
      <c r="D26" s="199" t="s">
        <v>1444</v>
      </c>
      <c r="E26" s="97">
        <v>15</v>
      </c>
    </row>
    <row r="27" spans="2:5" ht="15.6" customHeight="1">
      <c r="B27" s="199" t="s">
        <v>277</v>
      </c>
      <c r="C27" s="199" t="s">
        <v>1445</v>
      </c>
      <c r="D27" s="199" t="s">
        <v>1426</v>
      </c>
      <c r="E27" s="97">
        <v>12</v>
      </c>
    </row>
    <row r="28" spans="2:5" ht="15.6" customHeight="1">
      <c r="B28" s="45" t="s">
        <v>284</v>
      </c>
      <c r="C28" s="98" t="s">
        <v>1446</v>
      </c>
      <c r="D28" s="199" t="s">
        <v>1409</v>
      </c>
      <c r="E28" s="99">
        <v>2</v>
      </c>
    </row>
    <row r="29" spans="2:5" ht="15.6" customHeight="1">
      <c r="B29" s="199" t="s">
        <v>291</v>
      </c>
      <c r="C29" s="98" t="s">
        <v>295</v>
      </c>
      <c r="D29" s="199" t="s">
        <v>296</v>
      </c>
      <c r="E29" s="99">
        <v>16</v>
      </c>
    </row>
    <row r="30" spans="2:5" ht="15.6" customHeight="1">
      <c r="B30" s="45" t="s">
        <v>299</v>
      </c>
      <c r="C30" s="98" t="s">
        <v>295</v>
      </c>
      <c r="D30" s="199" t="s">
        <v>296</v>
      </c>
      <c r="E30" s="99">
        <v>16</v>
      </c>
    </row>
    <row r="31" spans="2:5" ht="15.6" customHeight="1">
      <c r="B31" s="45" t="s">
        <v>302</v>
      </c>
      <c r="C31" s="98" t="s">
        <v>295</v>
      </c>
      <c r="D31" s="199" t="s">
        <v>296</v>
      </c>
      <c r="E31" s="99">
        <v>16</v>
      </c>
    </row>
    <row r="32" spans="2:5" ht="15.6" customHeight="1">
      <c r="B32" s="45" t="s">
        <v>312</v>
      </c>
      <c r="C32" s="98" t="s">
        <v>308</v>
      </c>
      <c r="D32" s="199" t="s">
        <v>296</v>
      </c>
      <c r="E32" s="99">
        <v>16</v>
      </c>
    </row>
    <row r="33" spans="2:5" ht="15.6" customHeight="1">
      <c r="B33" s="45" t="s">
        <v>314</v>
      </c>
      <c r="C33" s="98" t="s">
        <v>308</v>
      </c>
      <c r="D33" s="199" t="s">
        <v>296</v>
      </c>
      <c r="E33" s="99">
        <v>16</v>
      </c>
    </row>
    <row r="34" spans="2:5" ht="15.6" customHeight="1">
      <c r="B34" s="199" t="s">
        <v>316</v>
      </c>
      <c r="C34" s="98" t="s">
        <v>1447</v>
      </c>
      <c r="D34" s="199" t="s">
        <v>296</v>
      </c>
      <c r="E34" s="97">
        <v>16</v>
      </c>
    </row>
    <row r="35" spans="2:5" ht="15.6" customHeight="1">
      <c r="B35" s="199" t="s">
        <v>330</v>
      </c>
      <c r="C35" s="98" t="s">
        <v>321</v>
      </c>
      <c r="D35" s="199" t="s">
        <v>322</v>
      </c>
      <c r="E35" s="97">
        <v>6</v>
      </c>
    </row>
    <row r="36" spans="2:5" ht="15.6" customHeight="1">
      <c r="B36" s="199" t="s">
        <v>332</v>
      </c>
      <c r="C36" s="98" t="s">
        <v>1448</v>
      </c>
      <c r="D36" s="199" t="s">
        <v>322</v>
      </c>
      <c r="E36" s="97">
        <v>6</v>
      </c>
    </row>
    <row r="37" spans="2:5" ht="15.6" customHeight="1">
      <c r="B37" s="199" t="s">
        <v>334</v>
      </c>
      <c r="C37" s="98" t="s">
        <v>1449</v>
      </c>
      <c r="D37" s="199" t="s">
        <v>1409</v>
      </c>
      <c r="E37" s="97">
        <v>2</v>
      </c>
    </row>
    <row r="38" spans="2:5" ht="15.6" customHeight="1">
      <c r="B38" s="199" t="s">
        <v>340</v>
      </c>
      <c r="C38" s="98" t="s">
        <v>1450</v>
      </c>
      <c r="D38" s="199" t="s">
        <v>1426</v>
      </c>
      <c r="E38" s="97">
        <v>12</v>
      </c>
    </row>
    <row r="39" spans="2:5" ht="15.6" customHeight="1">
      <c r="B39" s="199" t="s">
        <v>348</v>
      </c>
      <c r="C39" s="98" t="s">
        <v>1451</v>
      </c>
      <c r="D39" s="199" t="s">
        <v>599</v>
      </c>
      <c r="E39" s="97">
        <v>10</v>
      </c>
    </row>
    <row r="40" spans="2:5" ht="15.6" customHeight="1">
      <c r="B40" s="199" t="s">
        <v>353</v>
      </c>
      <c r="C40" s="98" t="s">
        <v>1452</v>
      </c>
      <c r="D40" s="199" t="s">
        <v>212</v>
      </c>
      <c r="E40" s="97">
        <v>11</v>
      </c>
    </row>
    <row r="41" spans="2:5" ht="15.6" customHeight="1">
      <c r="B41" s="199" t="s">
        <v>358</v>
      </c>
      <c r="C41" s="98" t="s">
        <v>793</v>
      </c>
      <c r="D41" s="199" t="s">
        <v>645</v>
      </c>
      <c r="E41" s="97">
        <v>13</v>
      </c>
    </row>
    <row r="42" spans="2:5" ht="15.6" customHeight="1">
      <c r="B42" s="199" t="s">
        <v>362</v>
      </c>
      <c r="C42" s="199" t="s">
        <v>1453</v>
      </c>
      <c r="D42" s="199" t="s">
        <v>1454</v>
      </c>
      <c r="E42" s="97">
        <v>15</v>
      </c>
    </row>
    <row r="43" spans="2:5" ht="15.6" customHeight="1">
      <c r="B43" s="100" t="s">
        <v>372</v>
      </c>
      <c r="C43" s="98" t="s">
        <v>613</v>
      </c>
      <c r="D43" s="199" t="s">
        <v>296</v>
      </c>
      <c r="E43" s="99">
        <v>16</v>
      </c>
    </row>
    <row r="44" spans="2:5" ht="15.6" customHeight="1">
      <c r="B44" s="199" t="s">
        <v>381</v>
      </c>
      <c r="C44" s="98" t="s">
        <v>1455</v>
      </c>
      <c r="D44" s="199" t="s">
        <v>599</v>
      </c>
      <c r="E44" s="97">
        <v>10</v>
      </c>
    </row>
    <row r="45" spans="2:5" ht="15.6" customHeight="1">
      <c r="B45" s="199" t="s">
        <v>387</v>
      </c>
      <c r="C45" s="98" t="s">
        <v>1456</v>
      </c>
      <c r="D45" s="199" t="s">
        <v>1419</v>
      </c>
      <c r="E45" s="97">
        <v>14</v>
      </c>
    </row>
    <row r="46" spans="2:5" ht="15.6" customHeight="1">
      <c r="B46" s="199" t="s">
        <v>392</v>
      </c>
      <c r="C46" s="98" t="s">
        <v>308</v>
      </c>
      <c r="D46" s="199" t="s">
        <v>296</v>
      </c>
      <c r="E46" s="99">
        <v>16</v>
      </c>
    </row>
    <row r="47" spans="2:5" ht="15.6" customHeight="1">
      <c r="B47" s="45" t="s">
        <v>398</v>
      </c>
      <c r="C47" s="98" t="s">
        <v>1437</v>
      </c>
      <c r="D47" s="199" t="s">
        <v>645</v>
      </c>
      <c r="E47" s="97">
        <v>13</v>
      </c>
    </row>
    <row r="48" spans="2:5" ht="15.6" customHeight="1">
      <c r="B48" s="199" t="s">
        <v>404</v>
      </c>
      <c r="C48" s="199" t="s">
        <v>644</v>
      </c>
      <c r="D48" s="199" t="s">
        <v>645</v>
      </c>
      <c r="E48" s="97">
        <v>13</v>
      </c>
    </row>
    <row r="49" spans="2:5" ht="15.6" customHeight="1">
      <c r="B49" s="45" t="s">
        <v>409</v>
      </c>
      <c r="C49" s="98" t="s">
        <v>1437</v>
      </c>
      <c r="D49" s="199" t="s">
        <v>645</v>
      </c>
      <c r="E49" s="97">
        <v>13</v>
      </c>
    </row>
    <row r="50" spans="2:5" ht="15.6" customHeight="1">
      <c r="B50" s="199" t="s">
        <v>416</v>
      </c>
      <c r="C50" s="98" t="s">
        <v>1457</v>
      </c>
      <c r="D50" s="199" t="s">
        <v>1426</v>
      </c>
      <c r="E50" s="99">
        <v>12</v>
      </c>
    </row>
    <row r="51" spans="2:5" ht="15.6" customHeight="1">
      <c r="B51" s="199" t="s">
        <v>423</v>
      </c>
      <c r="C51" s="199" t="s">
        <v>1458</v>
      </c>
      <c r="D51" s="199" t="s">
        <v>1459</v>
      </c>
      <c r="E51" s="97">
        <v>15</v>
      </c>
    </row>
    <row r="52" spans="2:5" ht="15.6" customHeight="1">
      <c r="B52" s="199" t="s">
        <v>428</v>
      </c>
      <c r="C52" s="199" t="s">
        <v>1460</v>
      </c>
      <c r="D52" s="199" t="s">
        <v>212</v>
      </c>
      <c r="E52" s="97">
        <v>11</v>
      </c>
    </row>
    <row r="53" spans="2:5" ht="15.6" customHeight="1">
      <c r="B53" s="199" t="s">
        <v>436</v>
      </c>
      <c r="C53" s="98" t="s">
        <v>1437</v>
      </c>
      <c r="D53" s="199" t="s">
        <v>645</v>
      </c>
      <c r="E53" s="97">
        <v>13</v>
      </c>
    </row>
    <row r="54" spans="2:5" ht="15.6" customHeight="1">
      <c r="B54" s="199" t="s">
        <v>442</v>
      </c>
      <c r="C54" s="199" t="s">
        <v>1461</v>
      </c>
      <c r="D54" s="199" t="s">
        <v>212</v>
      </c>
      <c r="E54" s="97">
        <v>11</v>
      </c>
    </row>
    <row r="55" spans="2:5" ht="15.6" customHeight="1">
      <c r="B55" s="199" t="s">
        <v>450</v>
      </c>
      <c r="C55" s="98" t="s">
        <v>1462</v>
      </c>
      <c r="D55" s="199" t="s">
        <v>1426</v>
      </c>
      <c r="E55" s="99">
        <v>12</v>
      </c>
    </row>
    <row r="56" spans="2:5" ht="15.6" customHeight="1">
      <c r="B56" s="199" t="s">
        <v>457</v>
      </c>
      <c r="C56" s="98" t="s">
        <v>1463</v>
      </c>
      <c r="D56" s="199" t="s">
        <v>1426</v>
      </c>
      <c r="E56" s="97">
        <v>12</v>
      </c>
    </row>
    <row r="57" spans="2:5" ht="15.6" customHeight="1">
      <c r="B57" s="199" t="s">
        <v>463</v>
      </c>
      <c r="C57" s="199" t="s">
        <v>1464</v>
      </c>
      <c r="D57" s="199" t="s">
        <v>1426</v>
      </c>
      <c r="E57" s="97">
        <v>12</v>
      </c>
    </row>
    <row r="58" spans="2:5" ht="15.6" customHeight="1">
      <c r="B58" s="199" t="s">
        <v>471</v>
      </c>
      <c r="C58" s="98" t="s">
        <v>1465</v>
      </c>
      <c r="D58" s="199" t="s">
        <v>1430</v>
      </c>
      <c r="E58" s="97">
        <v>6</v>
      </c>
    </row>
    <row r="59" spans="2:5" ht="15.6" customHeight="1">
      <c r="B59" s="199" t="s">
        <v>480</v>
      </c>
      <c r="C59" s="98" t="s">
        <v>1466</v>
      </c>
      <c r="D59" s="199" t="s">
        <v>1467</v>
      </c>
      <c r="E59" s="97">
        <v>15</v>
      </c>
    </row>
    <row r="60" spans="2:5" ht="15.6" customHeight="1">
      <c r="B60" s="199" t="s">
        <v>484</v>
      </c>
      <c r="C60" s="98" t="s">
        <v>1468</v>
      </c>
      <c r="D60" s="199" t="s">
        <v>1409</v>
      </c>
      <c r="E60" s="99">
        <v>2</v>
      </c>
    </row>
    <row r="61" spans="2:5" ht="15.6" customHeight="1">
      <c r="B61" s="199" t="s">
        <v>489</v>
      </c>
      <c r="C61" s="98" t="s">
        <v>1469</v>
      </c>
      <c r="D61" s="199" t="s">
        <v>1470</v>
      </c>
      <c r="E61" s="97">
        <v>15</v>
      </c>
    </row>
    <row r="62" spans="2:5" ht="15.6" customHeight="1">
      <c r="B62" s="199" t="s">
        <v>495</v>
      </c>
      <c r="C62" s="98" t="s">
        <v>1471</v>
      </c>
      <c r="D62" s="199" t="s">
        <v>1409</v>
      </c>
      <c r="E62" s="97">
        <v>2</v>
      </c>
    </row>
    <row r="63" spans="2:5" ht="15.6" customHeight="1">
      <c r="B63" s="199" t="s">
        <v>502</v>
      </c>
      <c r="C63" s="98" t="s">
        <v>1437</v>
      </c>
      <c r="D63" s="199" t="s">
        <v>645</v>
      </c>
      <c r="E63" s="97">
        <v>13</v>
      </c>
    </row>
    <row r="64" spans="2:5" ht="15.6" customHeight="1">
      <c r="B64" s="199" t="s">
        <v>508</v>
      </c>
      <c r="C64" s="98" t="s">
        <v>1472</v>
      </c>
      <c r="D64" s="199" t="s">
        <v>1409</v>
      </c>
      <c r="E64" s="99">
        <v>2</v>
      </c>
    </row>
    <row r="65" spans="2:5" ht="15.6" customHeight="1">
      <c r="B65" s="199" t="s">
        <v>516</v>
      </c>
      <c r="C65" s="98" t="s">
        <v>295</v>
      </c>
      <c r="D65" s="199" t="s">
        <v>296</v>
      </c>
      <c r="E65" s="99">
        <v>16</v>
      </c>
    </row>
    <row r="66" spans="2:5" ht="15.6" customHeight="1">
      <c r="B66" s="199" t="s">
        <v>525</v>
      </c>
      <c r="C66" s="98" t="s">
        <v>1473</v>
      </c>
      <c r="D66" s="199" t="s">
        <v>1426</v>
      </c>
      <c r="E66" s="97">
        <v>12</v>
      </c>
    </row>
    <row r="67" spans="2:5" ht="15.6" customHeight="1">
      <c r="B67" s="199" t="s">
        <v>534</v>
      </c>
      <c r="C67" s="98" t="s">
        <v>1474</v>
      </c>
      <c r="D67" s="199" t="s">
        <v>1430</v>
      </c>
      <c r="E67" s="97">
        <v>6</v>
      </c>
    </row>
    <row r="68" spans="2:5" ht="15.6" customHeight="1">
      <c r="B68" s="199" t="s">
        <v>540</v>
      </c>
      <c r="C68" s="98" t="s">
        <v>1473</v>
      </c>
      <c r="D68" s="199" t="s">
        <v>1426</v>
      </c>
      <c r="E68" s="97">
        <v>12</v>
      </c>
    </row>
    <row r="69" spans="2:5" ht="15.6" customHeight="1">
      <c r="B69" s="199" t="s">
        <v>546</v>
      </c>
      <c r="C69" s="98" t="s">
        <v>1475</v>
      </c>
      <c r="D69" s="199" t="s">
        <v>1426</v>
      </c>
      <c r="E69" s="97">
        <v>12</v>
      </c>
    </row>
    <row r="70" spans="2:5" ht="15.6" customHeight="1">
      <c r="B70" s="199" t="s">
        <v>555</v>
      </c>
      <c r="C70" s="98" t="s">
        <v>1476</v>
      </c>
      <c r="D70" s="199" t="s">
        <v>1426</v>
      </c>
      <c r="E70" s="97">
        <v>12</v>
      </c>
    </row>
    <row r="71" spans="2:5" ht="15.6" customHeight="1">
      <c r="B71" s="199" t="s">
        <v>560</v>
      </c>
      <c r="C71" s="98" t="s">
        <v>1477</v>
      </c>
      <c r="D71" s="199" t="s">
        <v>1426</v>
      </c>
      <c r="E71" s="97">
        <v>12</v>
      </c>
    </row>
    <row r="72" spans="2:5" ht="15.6" customHeight="1">
      <c r="B72" s="199" t="s">
        <v>567</v>
      </c>
      <c r="C72" s="98" t="s">
        <v>1478</v>
      </c>
      <c r="D72" s="199" t="s">
        <v>1426</v>
      </c>
      <c r="E72" s="97">
        <v>12</v>
      </c>
    </row>
    <row r="73" spans="2:5" ht="15.6" customHeight="1">
      <c r="B73" s="199" t="s">
        <v>572</v>
      </c>
      <c r="C73" s="98" t="s">
        <v>1479</v>
      </c>
      <c r="D73" s="199" t="s">
        <v>1270</v>
      </c>
      <c r="E73" s="97">
        <v>8</v>
      </c>
    </row>
    <row r="74" spans="2:5" ht="15.6" customHeight="1">
      <c r="B74" s="199" t="s">
        <v>580</v>
      </c>
      <c r="C74" s="98" t="s">
        <v>1479</v>
      </c>
      <c r="D74" s="199" t="s">
        <v>1270</v>
      </c>
      <c r="E74" s="97">
        <v>8</v>
      </c>
    </row>
    <row r="75" spans="2:5" ht="15.6" customHeight="1">
      <c r="B75" s="199" t="s">
        <v>585</v>
      </c>
      <c r="C75" s="98" t="s">
        <v>1480</v>
      </c>
      <c r="D75" s="199" t="s">
        <v>965</v>
      </c>
      <c r="E75" s="97">
        <v>4</v>
      </c>
    </row>
    <row r="76" spans="2:5" ht="15.6" customHeight="1">
      <c r="B76" s="199" t="s">
        <v>591</v>
      </c>
      <c r="C76" s="98" t="s">
        <v>1481</v>
      </c>
      <c r="D76" s="199" t="s">
        <v>212</v>
      </c>
      <c r="E76" s="97">
        <v>11</v>
      </c>
    </row>
    <row r="77" spans="2:5" ht="15.6" customHeight="1">
      <c r="B77" s="199" t="s">
        <v>606</v>
      </c>
      <c r="C77" s="98" t="s">
        <v>598</v>
      </c>
      <c r="D77" s="199" t="s">
        <v>599</v>
      </c>
      <c r="E77" s="97">
        <v>10</v>
      </c>
    </row>
    <row r="78" spans="2:5" ht="15.6" customHeight="1">
      <c r="B78" s="199" t="s">
        <v>609</v>
      </c>
      <c r="C78" s="98" t="s">
        <v>1482</v>
      </c>
      <c r="D78" s="199" t="s">
        <v>599</v>
      </c>
      <c r="E78" s="97">
        <v>10</v>
      </c>
    </row>
    <row r="79" spans="2:5" ht="15.6" customHeight="1">
      <c r="B79" s="199" t="s">
        <v>620</v>
      </c>
      <c r="C79" s="98" t="s">
        <v>613</v>
      </c>
      <c r="D79" s="199" t="s">
        <v>296</v>
      </c>
      <c r="E79" s="97">
        <v>16</v>
      </c>
    </row>
    <row r="80" spans="2:5" ht="15.6" customHeight="1">
      <c r="B80" s="199" t="s">
        <v>622</v>
      </c>
      <c r="C80" s="98" t="s">
        <v>613</v>
      </c>
      <c r="D80" s="199" t="s">
        <v>296</v>
      </c>
      <c r="E80" s="97">
        <v>16</v>
      </c>
    </row>
    <row r="81" spans="2:5" ht="15.6" customHeight="1">
      <c r="B81" s="199" t="s">
        <v>624</v>
      </c>
      <c r="C81" s="199" t="s">
        <v>1483</v>
      </c>
      <c r="D81" s="199" t="s">
        <v>322</v>
      </c>
      <c r="E81" s="97">
        <v>6</v>
      </c>
    </row>
    <row r="82" spans="2:5" ht="15.6" customHeight="1">
      <c r="B82" s="199" t="s">
        <v>631</v>
      </c>
      <c r="C82" s="98" t="s">
        <v>295</v>
      </c>
      <c r="D82" s="199" t="s">
        <v>296</v>
      </c>
      <c r="E82" s="99">
        <v>16</v>
      </c>
    </row>
    <row r="83" spans="2:5" ht="15.6" customHeight="1">
      <c r="B83" s="199" t="s">
        <v>639</v>
      </c>
      <c r="C83" s="199" t="s">
        <v>1484</v>
      </c>
      <c r="D83" s="199" t="s">
        <v>1419</v>
      </c>
      <c r="E83" s="101">
        <v>14</v>
      </c>
    </row>
    <row r="84" spans="2:5" ht="15.6" customHeight="1">
      <c r="B84" s="199" t="s">
        <v>651</v>
      </c>
      <c r="C84" s="199" t="s">
        <v>644</v>
      </c>
      <c r="D84" s="199" t="s">
        <v>645</v>
      </c>
      <c r="E84" s="97">
        <v>13</v>
      </c>
    </row>
    <row r="85" spans="2:5" ht="15.6" customHeight="1">
      <c r="B85" s="199" t="s">
        <v>653</v>
      </c>
      <c r="C85" s="199" t="s">
        <v>644</v>
      </c>
      <c r="D85" s="199" t="s">
        <v>645</v>
      </c>
      <c r="E85" s="97">
        <v>13</v>
      </c>
    </row>
    <row r="86" spans="2:5" ht="15.6" customHeight="1">
      <c r="B86" s="199" t="s">
        <v>655</v>
      </c>
      <c r="C86" s="199" t="s">
        <v>644</v>
      </c>
      <c r="D86" s="199" t="s">
        <v>645</v>
      </c>
      <c r="E86" s="97">
        <v>13</v>
      </c>
    </row>
    <row r="87" spans="2:5" ht="15.6" customHeight="1">
      <c r="B87" s="199" t="s">
        <v>657</v>
      </c>
      <c r="C87" s="199" t="s">
        <v>644</v>
      </c>
      <c r="D87" s="199" t="s">
        <v>645</v>
      </c>
      <c r="E87" s="97">
        <v>13</v>
      </c>
    </row>
    <row r="88" spans="2:5" ht="15.6" customHeight="1">
      <c r="B88" s="199" t="s">
        <v>659</v>
      </c>
      <c r="C88" s="98" t="s">
        <v>1437</v>
      </c>
      <c r="D88" s="199" t="s">
        <v>645</v>
      </c>
      <c r="E88" s="97">
        <v>13</v>
      </c>
    </row>
    <row r="89" spans="2:5" ht="15.6" customHeight="1">
      <c r="B89" s="199" t="s">
        <v>664</v>
      </c>
      <c r="C89" s="199" t="s">
        <v>1485</v>
      </c>
      <c r="D89" s="199" t="s">
        <v>1426</v>
      </c>
      <c r="E89" s="97">
        <v>12</v>
      </c>
    </row>
    <row r="90" spans="2:5" ht="15.6" customHeight="1">
      <c r="B90" s="199" t="s">
        <v>675</v>
      </c>
      <c r="C90" s="98" t="s">
        <v>1437</v>
      </c>
      <c r="D90" s="199" t="s">
        <v>645</v>
      </c>
      <c r="E90" s="97">
        <v>13</v>
      </c>
    </row>
    <row r="91" spans="2:5" ht="15.6" customHeight="1">
      <c r="B91" s="199" t="s">
        <v>681</v>
      </c>
      <c r="C91" s="98" t="s">
        <v>1486</v>
      </c>
      <c r="D91" s="199" t="s">
        <v>1426</v>
      </c>
      <c r="E91" s="97">
        <v>12</v>
      </c>
    </row>
    <row r="92" spans="2:5" ht="15.6" customHeight="1">
      <c r="B92" s="199" t="s">
        <v>687</v>
      </c>
      <c r="C92" s="199" t="s">
        <v>1487</v>
      </c>
      <c r="D92" s="102" t="s">
        <v>1459</v>
      </c>
      <c r="E92" s="101">
        <v>15</v>
      </c>
    </row>
    <row r="93" spans="2:5" ht="15.6" customHeight="1">
      <c r="B93" s="199" t="s">
        <v>644</v>
      </c>
      <c r="C93" s="199" t="s">
        <v>644</v>
      </c>
      <c r="D93" s="199" t="s">
        <v>645</v>
      </c>
      <c r="E93" s="101">
        <v>13</v>
      </c>
    </row>
    <row r="94" spans="2:5" ht="15.6" customHeight="1">
      <c r="B94" s="199" t="s">
        <v>698</v>
      </c>
      <c r="C94" s="199" t="s">
        <v>1488</v>
      </c>
      <c r="D94" s="199" t="s">
        <v>1430</v>
      </c>
      <c r="E94" s="97">
        <v>6</v>
      </c>
    </row>
    <row r="95" spans="2:5" ht="15.6" customHeight="1">
      <c r="B95" s="199" t="s">
        <v>708</v>
      </c>
      <c r="C95" s="199" t="s">
        <v>1489</v>
      </c>
      <c r="D95" s="199" t="s">
        <v>1430</v>
      </c>
      <c r="E95" s="97">
        <v>6</v>
      </c>
    </row>
    <row r="96" spans="2:5" ht="15.6" customHeight="1">
      <c r="B96" s="103" t="s">
        <v>710</v>
      </c>
      <c r="C96" s="98" t="s">
        <v>793</v>
      </c>
      <c r="D96" s="199" t="s">
        <v>645</v>
      </c>
      <c r="E96" s="97">
        <v>13</v>
      </c>
    </row>
    <row r="97" spans="2:5" ht="15.6" customHeight="1">
      <c r="B97" s="199" t="s">
        <v>714</v>
      </c>
      <c r="C97" s="98" t="s">
        <v>1490</v>
      </c>
      <c r="D97" s="199" t="s">
        <v>1491</v>
      </c>
      <c r="E97" s="97">
        <v>15</v>
      </c>
    </row>
    <row r="98" spans="2:5" ht="15.6" customHeight="1">
      <c r="B98" s="199" t="s">
        <v>720</v>
      </c>
      <c r="C98" s="98" t="s">
        <v>1492</v>
      </c>
      <c r="D98" s="199" t="s">
        <v>965</v>
      </c>
      <c r="E98" s="99">
        <v>4</v>
      </c>
    </row>
    <row r="99" spans="2:5" ht="15.6" customHeight="1">
      <c r="B99" s="199" t="s">
        <v>726</v>
      </c>
      <c r="C99" s="98" t="s">
        <v>793</v>
      </c>
      <c r="D99" s="199" t="s">
        <v>645</v>
      </c>
      <c r="E99" s="97">
        <v>13</v>
      </c>
    </row>
    <row r="100" spans="2:5" ht="15.6" customHeight="1">
      <c r="B100" s="199" t="s">
        <v>735</v>
      </c>
      <c r="C100" s="98" t="s">
        <v>1437</v>
      </c>
      <c r="D100" s="199" t="s">
        <v>645</v>
      </c>
      <c r="E100" s="97">
        <v>13</v>
      </c>
    </row>
    <row r="101" spans="2:5" ht="15.6" customHeight="1">
      <c r="B101" s="199" t="s">
        <v>738</v>
      </c>
      <c r="C101" s="98" t="s">
        <v>793</v>
      </c>
      <c r="D101" s="199" t="s">
        <v>645</v>
      </c>
      <c r="E101" s="97">
        <v>13</v>
      </c>
    </row>
    <row r="102" spans="2:5" ht="15.6" customHeight="1">
      <c r="B102" s="89" t="s">
        <v>741</v>
      </c>
      <c r="C102" s="98" t="s">
        <v>1493</v>
      </c>
      <c r="D102" s="199" t="s">
        <v>1270</v>
      </c>
      <c r="E102" s="99">
        <v>8</v>
      </c>
    </row>
    <row r="103" spans="2:5" ht="15.6" customHeight="1">
      <c r="B103" s="199" t="s">
        <v>752</v>
      </c>
      <c r="C103" s="98" t="s">
        <v>1494</v>
      </c>
      <c r="D103" s="199" t="s">
        <v>1409</v>
      </c>
      <c r="E103" s="99">
        <v>2</v>
      </c>
    </row>
    <row r="104" spans="2:5" ht="15.6" customHeight="1">
      <c r="B104" s="199" t="s">
        <v>757</v>
      </c>
      <c r="C104" s="98" t="s">
        <v>793</v>
      </c>
      <c r="D104" s="199" t="s">
        <v>645</v>
      </c>
      <c r="E104" s="97">
        <v>13</v>
      </c>
    </row>
    <row r="105" spans="2:5" ht="15.6" customHeight="1">
      <c r="B105" s="199" t="s">
        <v>762</v>
      </c>
      <c r="C105" s="98" t="s">
        <v>793</v>
      </c>
      <c r="D105" s="199" t="s">
        <v>645</v>
      </c>
      <c r="E105" s="97">
        <v>13</v>
      </c>
    </row>
    <row r="106" spans="2:5" ht="15.6" customHeight="1">
      <c r="B106" s="199" t="s">
        <v>767</v>
      </c>
      <c r="C106" s="98" t="s">
        <v>1495</v>
      </c>
      <c r="D106" s="199" t="s">
        <v>296</v>
      </c>
      <c r="E106" s="99">
        <v>16</v>
      </c>
    </row>
    <row r="107" spans="2:5" ht="15.6" customHeight="1">
      <c r="B107" s="199" t="s">
        <v>771</v>
      </c>
      <c r="C107" s="98" t="s">
        <v>1441</v>
      </c>
      <c r="D107" s="199" t="s">
        <v>212</v>
      </c>
      <c r="E107" s="99">
        <v>11</v>
      </c>
    </row>
    <row r="108" spans="2:5" ht="15.6" customHeight="1">
      <c r="B108" s="199" t="s">
        <v>778</v>
      </c>
      <c r="C108" s="98" t="s">
        <v>1437</v>
      </c>
      <c r="D108" s="199" t="s">
        <v>645</v>
      </c>
      <c r="E108" s="97">
        <v>13</v>
      </c>
    </row>
    <row r="109" spans="2:5" ht="15.6" customHeight="1">
      <c r="B109" s="199" t="s">
        <v>783</v>
      </c>
      <c r="C109" s="98" t="s">
        <v>1496</v>
      </c>
      <c r="D109" s="199" t="s">
        <v>965</v>
      </c>
      <c r="E109" s="97">
        <v>4</v>
      </c>
    </row>
    <row r="110" spans="2:5" ht="15.6" customHeight="1">
      <c r="B110" s="199" t="s">
        <v>797</v>
      </c>
      <c r="C110" s="98" t="s">
        <v>793</v>
      </c>
      <c r="D110" s="199" t="s">
        <v>645</v>
      </c>
      <c r="E110" s="97">
        <v>13</v>
      </c>
    </row>
    <row r="111" spans="2:5" ht="15.6" customHeight="1">
      <c r="B111" s="199" t="s">
        <v>799</v>
      </c>
      <c r="C111" s="98" t="s">
        <v>793</v>
      </c>
      <c r="D111" s="199" t="s">
        <v>645</v>
      </c>
      <c r="E111" s="97">
        <v>13</v>
      </c>
    </row>
    <row r="112" spans="2:5" ht="15.6" customHeight="1">
      <c r="B112" s="199" t="s">
        <v>801</v>
      </c>
      <c r="C112" s="98" t="s">
        <v>1446</v>
      </c>
      <c r="D112" s="199" t="s">
        <v>1409</v>
      </c>
      <c r="E112" s="99">
        <v>2</v>
      </c>
    </row>
    <row r="113" spans="2:5" ht="15.6" customHeight="1">
      <c r="B113" s="104" t="s">
        <v>811</v>
      </c>
      <c r="C113" s="98" t="s">
        <v>1497</v>
      </c>
      <c r="D113" s="199" t="s">
        <v>1411</v>
      </c>
      <c r="E113" s="99">
        <v>3</v>
      </c>
    </row>
    <row r="114" spans="2:5" ht="15.6" customHeight="1">
      <c r="B114" s="199" t="s">
        <v>818</v>
      </c>
      <c r="C114" s="98" t="s">
        <v>1498</v>
      </c>
      <c r="D114" s="199" t="s">
        <v>1426</v>
      </c>
      <c r="E114" s="99">
        <v>12</v>
      </c>
    </row>
    <row r="115" spans="2:5" ht="15.6" customHeight="1">
      <c r="B115" s="199" t="s">
        <v>827</v>
      </c>
      <c r="C115" s="98" t="s">
        <v>1499</v>
      </c>
      <c r="D115" s="199" t="s">
        <v>1430</v>
      </c>
      <c r="E115" s="99">
        <v>6</v>
      </c>
    </row>
    <row r="116" spans="2:5" ht="15.6" customHeight="1">
      <c r="B116" s="199" t="s">
        <v>837</v>
      </c>
      <c r="C116" s="98" t="s">
        <v>793</v>
      </c>
      <c r="D116" s="199" t="s">
        <v>645</v>
      </c>
      <c r="E116" s="97">
        <v>13</v>
      </c>
    </row>
    <row r="117" spans="2:5" ht="15.6" customHeight="1">
      <c r="B117" s="104" t="s">
        <v>840</v>
      </c>
      <c r="C117" s="98" t="s">
        <v>793</v>
      </c>
      <c r="D117" s="199" t="s">
        <v>645</v>
      </c>
      <c r="E117" s="97">
        <v>13</v>
      </c>
    </row>
    <row r="118" spans="2:5" ht="15.6" customHeight="1">
      <c r="B118" s="199" t="s">
        <v>844</v>
      </c>
      <c r="C118" s="98" t="s">
        <v>793</v>
      </c>
      <c r="D118" s="199" t="s">
        <v>645</v>
      </c>
      <c r="E118" s="97">
        <v>13</v>
      </c>
    </row>
    <row r="119" spans="2:5" ht="15.6" customHeight="1">
      <c r="B119" s="199" t="s">
        <v>848</v>
      </c>
      <c r="C119" s="98" t="s">
        <v>793</v>
      </c>
      <c r="D119" s="199" t="s">
        <v>645</v>
      </c>
      <c r="E119" s="97">
        <v>13</v>
      </c>
    </row>
    <row r="120" spans="2:5" ht="15.6" customHeight="1">
      <c r="B120" s="199" t="s">
        <v>852</v>
      </c>
      <c r="C120" s="98" t="s">
        <v>793</v>
      </c>
      <c r="D120" s="199" t="s">
        <v>645</v>
      </c>
      <c r="E120" s="97">
        <v>13</v>
      </c>
    </row>
    <row r="121" spans="2:5" ht="15.6" customHeight="1">
      <c r="B121" s="199" t="s">
        <v>856</v>
      </c>
      <c r="C121" s="98" t="s">
        <v>793</v>
      </c>
      <c r="D121" s="199" t="s">
        <v>645</v>
      </c>
      <c r="E121" s="97">
        <v>13</v>
      </c>
    </row>
    <row r="122" spans="2:5" ht="15.6" customHeight="1">
      <c r="B122" s="199" t="s">
        <v>860</v>
      </c>
      <c r="C122" s="98" t="s">
        <v>793</v>
      </c>
      <c r="D122" s="199" t="s">
        <v>645</v>
      </c>
      <c r="E122" s="97">
        <v>13</v>
      </c>
    </row>
    <row r="123" spans="2:5" ht="15.6" customHeight="1">
      <c r="B123" s="199" t="s">
        <v>864</v>
      </c>
      <c r="C123" s="98" t="s">
        <v>793</v>
      </c>
      <c r="D123" s="199" t="s">
        <v>645</v>
      </c>
      <c r="E123" s="97">
        <v>13</v>
      </c>
    </row>
    <row r="124" spans="2:5" ht="15.6" customHeight="1">
      <c r="B124" s="199" t="s">
        <v>871</v>
      </c>
      <c r="C124" s="98" t="s">
        <v>793</v>
      </c>
      <c r="D124" s="199" t="s">
        <v>645</v>
      </c>
      <c r="E124" s="97">
        <v>13</v>
      </c>
    </row>
    <row r="125" spans="2:5" ht="15.6" customHeight="1">
      <c r="B125" s="199" t="s">
        <v>878</v>
      </c>
      <c r="C125" s="98" t="s">
        <v>793</v>
      </c>
      <c r="D125" s="199" t="s">
        <v>645</v>
      </c>
      <c r="E125" s="97">
        <v>13</v>
      </c>
    </row>
    <row r="126" spans="2:5" ht="15.6" customHeight="1">
      <c r="B126" s="199" t="s">
        <v>884</v>
      </c>
      <c r="C126" s="98" t="s">
        <v>1500</v>
      </c>
      <c r="D126" s="199" t="s">
        <v>645</v>
      </c>
      <c r="E126" s="99">
        <v>13</v>
      </c>
    </row>
    <row r="127" spans="2:5" ht="15.6" customHeight="1">
      <c r="B127" s="199" t="s">
        <v>887</v>
      </c>
      <c r="C127" s="98" t="s">
        <v>1468</v>
      </c>
      <c r="D127" s="199" t="s">
        <v>1409</v>
      </c>
      <c r="E127" s="99">
        <v>2</v>
      </c>
    </row>
    <row r="128" spans="2:5" ht="15.6" customHeight="1">
      <c r="B128" s="199" t="s">
        <v>894</v>
      </c>
      <c r="C128" s="98" t="s">
        <v>295</v>
      </c>
      <c r="D128" s="199" t="s">
        <v>296</v>
      </c>
      <c r="E128" s="99">
        <v>16</v>
      </c>
    </row>
    <row r="129" spans="2:5" ht="15.6" customHeight="1">
      <c r="B129" s="199" t="s">
        <v>897</v>
      </c>
      <c r="C129" s="98" t="s">
        <v>1501</v>
      </c>
      <c r="D129" s="199" t="s">
        <v>1068</v>
      </c>
      <c r="E129" s="99">
        <v>1</v>
      </c>
    </row>
    <row r="130" spans="2:5" ht="15.6" customHeight="1">
      <c r="B130" s="199" t="s">
        <v>908</v>
      </c>
      <c r="C130" s="98" t="s">
        <v>1457</v>
      </c>
      <c r="D130" s="199" t="s">
        <v>1426</v>
      </c>
      <c r="E130" s="99">
        <v>12</v>
      </c>
    </row>
    <row r="131" spans="2:5" ht="15.6" customHeight="1">
      <c r="B131" s="104" t="s">
        <v>914</v>
      </c>
      <c r="C131" s="98" t="s">
        <v>1502</v>
      </c>
      <c r="D131" s="199" t="s">
        <v>1405</v>
      </c>
      <c r="E131" s="99">
        <v>5</v>
      </c>
    </row>
    <row r="132" spans="2:5" ht="15.6" customHeight="1">
      <c r="B132" s="199" t="s">
        <v>926</v>
      </c>
      <c r="C132" s="98" t="s">
        <v>1446</v>
      </c>
      <c r="D132" s="199" t="s">
        <v>1409</v>
      </c>
      <c r="E132" s="99">
        <v>2</v>
      </c>
    </row>
    <row r="133" spans="2:5" ht="15.6" customHeight="1">
      <c r="B133" s="199" t="s">
        <v>928</v>
      </c>
      <c r="C133" s="98" t="s">
        <v>295</v>
      </c>
      <c r="D133" s="199" t="s">
        <v>296</v>
      </c>
      <c r="E133" s="99">
        <v>16</v>
      </c>
    </row>
    <row r="134" spans="2:5" ht="15.6" customHeight="1">
      <c r="B134" s="199" t="s">
        <v>930</v>
      </c>
      <c r="C134" s="98" t="s">
        <v>295</v>
      </c>
      <c r="D134" s="199" t="s">
        <v>296</v>
      </c>
      <c r="E134" s="99">
        <v>16</v>
      </c>
    </row>
    <row r="135" spans="2:5" ht="15.6" customHeight="1">
      <c r="B135" s="199" t="s">
        <v>932</v>
      </c>
      <c r="C135" s="98" t="s">
        <v>1437</v>
      </c>
      <c r="D135" s="199" t="s">
        <v>645</v>
      </c>
      <c r="E135" s="97">
        <v>13</v>
      </c>
    </row>
    <row r="136" spans="2:5" ht="15.6" customHeight="1">
      <c r="B136" s="199" t="s">
        <v>937</v>
      </c>
      <c r="C136" s="98" t="s">
        <v>1503</v>
      </c>
      <c r="D136" s="199" t="s">
        <v>599</v>
      </c>
      <c r="E136" s="99">
        <v>10</v>
      </c>
    </row>
    <row r="137" spans="2:5" ht="15.6" customHeight="1">
      <c r="B137" s="199" t="s">
        <v>942</v>
      </c>
      <c r="C137" s="98" t="s">
        <v>1504</v>
      </c>
      <c r="D137" s="199" t="s">
        <v>1426</v>
      </c>
      <c r="E137" s="99">
        <v>12</v>
      </c>
    </row>
    <row r="138" spans="2:5" ht="15.6" customHeight="1">
      <c r="B138" s="199" t="s">
        <v>947</v>
      </c>
      <c r="C138" s="98" t="s">
        <v>1505</v>
      </c>
      <c r="D138" s="199" t="s">
        <v>1409</v>
      </c>
      <c r="E138" s="99">
        <v>2</v>
      </c>
    </row>
    <row r="139" spans="2:5" ht="15.6" customHeight="1">
      <c r="B139" s="199" t="s">
        <v>954</v>
      </c>
      <c r="C139" s="98" t="s">
        <v>964</v>
      </c>
      <c r="D139" s="199" t="s">
        <v>965</v>
      </c>
      <c r="E139" s="99">
        <v>4</v>
      </c>
    </row>
    <row r="140" spans="2:5" ht="15.6" customHeight="1">
      <c r="B140" s="10" t="s">
        <v>1362</v>
      </c>
      <c r="C140" s="98" t="s">
        <v>964</v>
      </c>
      <c r="D140" s="199" t="s">
        <v>965</v>
      </c>
      <c r="E140" s="99">
        <v>4</v>
      </c>
    </row>
    <row r="141" spans="2:5" ht="15.6" customHeight="1">
      <c r="B141" s="199" t="s">
        <v>971</v>
      </c>
      <c r="C141" s="98" t="s">
        <v>964</v>
      </c>
      <c r="D141" s="199" t="s">
        <v>965</v>
      </c>
      <c r="E141" s="99">
        <v>4</v>
      </c>
    </row>
    <row r="142" spans="2:5" ht="15.6" customHeight="1">
      <c r="B142" s="199" t="s">
        <v>973</v>
      </c>
      <c r="C142" s="98" t="s">
        <v>964</v>
      </c>
      <c r="D142" s="199" t="s">
        <v>965</v>
      </c>
      <c r="E142" s="99">
        <v>4</v>
      </c>
    </row>
    <row r="143" spans="2:5" ht="15.6" customHeight="1">
      <c r="B143" s="199" t="s">
        <v>975</v>
      </c>
      <c r="C143" s="98" t="s">
        <v>1506</v>
      </c>
      <c r="D143" s="199" t="s">
        <v>965</v>
      </c>
      <c r="E143" s="99">
        <v>4</v>
      </c>
    </row>
    <row r="144" spans="2:5" ht="15.6" customHeight="1">
      <c r="B144" s="199" t="s">
        <v>986</v>
      </c>
      <c r="C144" s="98" t="s">
        <v>979</v>
      </c>
      <c r="D144" s="199" t="s">
        <v>965</v>
      </c>
      <c r="E144" s="99">
        <v>4</v>
      </c>
    </row>
    <row r="145" spans="2:5" ht="15.6" customHeight="1">
      <c r="B145" s="199" t="s">
        <v>988</v>
      </c>
      <c r="C145" s="98" t="s">
        <v>979</v>
      </c>
      <c r="D145" s="199" t="s">
        <v>965</v>
      </c>
      <c r="E145" s="99">
        <v>4</v>
      </c>
    </row>
    <row r="146" spans="2:5" ht="15.6" customHeight="1">
      <c r="B146" s="105" t="s">
        <v>992</v>
      </c>
      <c r="C146" s="98" t="s">
        <v>1269</v>
      </c>
      <c r="D146" s="199" t="s">
        <v>1270</v>
      </c>
      <c r="E146" s="99">
        <v>8</v>
      </c>
    </row>
    <row r="147" spans="2:5" ht="15.6" customHeight="1">
      <c r="B147" s="199" t="s">
        <v>998</v>
      </c>
      <c r="C147" s="98" t="s">
        <v>1507</v>
      </c>
      <c r="D147" s="199" t="s">
        <v>1413</v>
      </c>
      <c r="E147" s="99">
        <v>7</v>
      </c>
    </row>
    <row r="148" spans="2:5" ht="15.6" customHeight="1">
      <c r="B148" s="199" t="s">
        <v>1005</v>
      </c>
      <c r="C148" s="98" t="s">
        <v>1508</v>
      </c>
      <c r="D148" s="199" t="s">
        <v>1459</v>
      </c>
      <c r="E148" s="99">
        <v>15</v>
      </c>
    </row>
    <row r="149" spans="2:5" ht="15.6" customHeight="1">
      <c r="B149" s="199" t="s">
        <v>1010</v>
      </c>
      <c r="C149" s="98" t="s">
        <v>1509</v>
      </c>
      <c r="D149" s="199" t="s">
        <v>1405</v>
      </c>
      <c r="E149" s="99">
        <v>5</v>
      </c>
    </row>
    <row r="150" spans="2:5" ht="15.6" customHeight="1">
      <c r="B150" s="199" t="s">
        <v>1017</v>
      </c>
      <c r="C150" s="98" t="s">
        <v>1510</v>
      </c>
      <c r="D150" s="199" t="s">
        <v>1413</v>
      </c>
      <c r="E150" s="99">
        <v>7</v>
      </c>
    </row>
    <row r="151" spans="2:5" ht="15.6" customHeight="1">
      <c r="B151" s="199" t="s">
        <v>1020</v>
      </c>
      <c r="C151" s="98" t="s">
        <v>1511</v>
      </c>
      <c r="D151" s="199" t="s">
        <v>1421</v>
      </c>
      <c r="E151" s="99">
        <v>9</v>
      </c>
    </row>
    <row r="152" spans="2:5" ht="15.6" customHeight="1">
      <c r="B152" s="199" t="s">
        <v>1029</v>
      </c>
      <c r="C152" s="98" t="s">
        <v>793</v>
      </c>
      <c r="D152" s="199" t="s">
        <v>645</v>
      </c>
      <c r="E152" s="97">
        <v>13</v>
      </c>
    </row>
    <row r="153" spans="2:5" ht="15.6" customHeight="1">
      <c r="B153" s="199" t="s">
        <v>1032</v>
      </c>
      <c r="C153" s="98" t="s">
        <v>1512</v>
      </c>
      <c r="D153" s="199" t="s">
        <v>1405</v>
      </c>
      <c r="E153" s="97">
        <v>5</v>
      </c>
    </row>
    <row r="154" spans="2:5" ht="15.6" customHeight="1">
      <c r="B154" s="199" t="s">
        <v>1035</v>
      </c>
      <c r="C154" s="98" t="s">
        <v>793</v>
      </c>
      <c r="D154" s="199" t="s">
        <v>645</v>
      </c>
      <c r="E154" s="97">
        <v>13</v>
      </c>
    </row>
    <row r="155" spans="2:5" ht="15.6" customHeight="1">
      <c r="B155" s="199" t="s">
        <v>1038</v>
      </c>
      <c r="C155" s="98" t="s">
        <v>1513</v>
      </c>
      <c r="D155" s="199" t="s">
        <v>1413</v>
      </c>
      <c r="E155" s="99">
        <v>7</v>
      </c>
    </row>
    <row r="156" spans="2:5" ht="15.6" customHeight="1">
      <c r="B156" s="199" t="s">
        <v>1044</v>
      </c>
      <c r="C156" s="98" t="s">
        <v>1514</v>
      </c>
      <c r="D156" s="199" t="s">
        <v>1419</v>
      </c>
      <c r="E156" s="99">
        <v>14</v>
      </c>
    </row>
    <row r="157" spans="2:5" ht="15.6" customHeight="1">
      <c r="B157" s="199" t="s">
        <v>1048</v>
      </c>
      <c r="C157" s="98" t="s">
        <v>1515</v>
      </c>
      <c r="D157" s="199" t="s">
        <v>1409</v>
      </c>
      <c r="E157" s="99">
        <v>2</v>
      </c>
    </row>
    <row r="158" spans="2:5" ht="15.6" customHeight="1">
      <c r="B158" s="199" t="s">
        <v>1060</v>
      </c>
      <c r="C158" s="98" t="s">
        <v>1516</v>
      </c>
      <c r="D158" s="199" t="s">
        <v>212</v>
      </c>
      <c r="E158" s="99" t="s">
        <v>1517</v>
      </c>
    </row>
    <row r="159" spans="2:5" ht="15.6" customHeight="1">
      <c r="B159" s="199" t="s">
        <v>1072</v>
      </c>
      <c r="C159" s="98" t="s">
        <v>1067</v>
      </c>
      <c r="D159" s="199" t="s">
        <v>1068</v>
      </c>
      <c r="E159" s="99">
        <v>1</v>
      </c>
    </row>
    <row r="160" spans="2:5" ht="15.6" customHeight="1">
      <c r="B160" s="199" t="s">
        <v>1074</v>
      </c>
      <c r="C160" s="98" t="s">
        <v>1067</v>
      </c>
      <c r="D160" s="199" t="s">
        <v>1068</v>
      </c>
      <c r="E160" s="99">
        <v>1</v>
      </c>
    </row>
    <row r="161" spans="2:5" ht="15.6" customHeight="1">
      <c r="B161" s="199" t="s">
        <v>1077</v>
      </c>
      <c r="C161" s="98" t="s">
        <v>964</v>
      </c>
      <c r="D161" s="199" t="s">
        <v>965</v>
      </c>
      <c r="E161" s="99">
        <v>4</v>
      </c>
    </row>
    <row r="162" spans="2:5" ht="15.6" customHeight="1">
      <c r="B162" s="199" t="s">
        <v>1084</v>
      </c>
      <c r="C162" s="98" t="s">
        <v>1518</v>
      </c>
      <c r="D162" s="199" t="s">
        <v>599</v>
      </c>
      <c r="E162" s="99">
        <v>10</v>
      </c>
    </row>
    <row r="163" spans="2:5" ht="15.6" customHeight="1">
      <c r="B163" s="199" t="s">
        <v>1092</v>
      </c>
      <c r="C163" s="98" t="s">
        <v>1519</v>
      </c>
      <c r="D163" s="199" t="s">
        <v>1409</v>
      </c>
      <c r="E163" s="99">
        <v>2</v>
      </c>
    </row>
    <row r="164" spans="2:5" ht="15.6" customHeight="1">
      <c r="B164" s="199" t="s">
        <v>1097</v>
      </c>
      <c r="C164" s="98" t="s">
        <v>1520</v>
      </c>
      <c r="D164" s="199" t="s">
        <v>1426</v>
      </c>
      <c r="E164" s="99">
        <v>12</v>
      </c>
    </row>
    <row r="165" spans="2:5" ht="15.6" customHeight="1">
      <c r="B165" s="199" t="s">
        <v>1102</v>
      </c>
      <c r="C165" s="98" t="s">
        <v>793</v>
      </c>
      <c r="D165" s="199" t="s">
        <v>645</v>
      </c>
      <c r="E165" s="97">
        <v>13</v>
      </c>
    </row>
    <row r="166" spans="2:5" ht="15.6" customHeight="1">
      <c r="B166" s="103" t="s">
        <v>1106</v>
      </c>
      <c r="C166" s="98" t="s">
        <v>1521</v>
      </c>
      <c r="D166" s="199" t="s">
        <v>1429</v>
      </c>
      <c r="E166" s="99">
        <v>6</v>
      </c>
    </row>
    <row r="167" spans="2:5" ht="15.6" customHeight="1">
      <c r="B167" s="103" t="s">
        <v>1113</v>
      </c>
      <c r="C167" s="98" t="s">
        <v>1522</v>
      </c>
      <c r="D167" s="199" t="s">
        <v>322</v>
      </c>
      <c r="E167" s="99">
        <v>6</v>
      </c>
    </row>
    <row r="168" spans="2:5" ht="15.6" customHeight="1">
      <c r="B168" s="103" t="s">
        <v>1119</v>
      </c>
      <c r="C168" s="98" t="s">
        <v>1523</v>
      </c>
      <c r="D168" s="199" t="s">
        <v>1524</v>
      </c>
      <c r="E168" s="99">
        <v>15</v>
      </c>
    </row>
    <row r="169" spans="2:5" ht="15.6" customHeight="1">
      <c r="B169" s="199" t="s">
        <v>1124</v>
      </c>
      <c r="C169" s="98" t="s">
        <v>1124</v>
      </c>
      <c r="D169" s="199" t="s">
        <v>1525</v>
      </c>
      <c r="E169" s="99">
        <v>15</v>
      </c>
    </row>
    <row r="170" spans="2:5" ht="15.6" customHeight="1">
      <c r="B170" s="98" t="s">
        <v>1135</v>
      </c>
      <c r="C170" s="106" t="s">
        <v>1526</v>
      </c>
      <c r="D170" s="199" t="s">
        <v>1405</v>
      </c>
      <c r="E170" s="99">
        <v>5</v>
      </c>
    </row>
    <row r="171" spans="2:5" ht="15.6" customHeight="1">
      <c r="B171" s="100" t="s">
        <v>1149</v>
      </c>
      <c r="C171" s="98" t="s">
        <v>613</v>
      </c>
      <c r="D171" s="199" t="s">
        <v>296</v>
      </c>
      <c r="E171" s="99">
        <v>16</v>
      </c>
    </row>
    <row r="172" spans="2:5" ht="15.6" customHeight="1">
      <c r="B172" s="199" t="s">
        <v>1151</v>
      </c>
      <c r="C172" s="98" t="s">
        <v>1508</v>
      </c>
      <c r="D172" s="199" t="s">
        <v>1459</v>
      </c>
      <c r="E172" s="99">
        <v>15</v>
      </c>
    </row>
    <row r="173" spans="2:5" ht="15.6" customHeight="1">
      <c r="B173" s="103" t="s">
        <v>1154</v>
      </c>
      <c r="C173" s="98" t="s">
        <v>1527</v>
      </c>
      <c r="D173" s="199" t="s">
        <v>1405</v>
      </c>
      <c r="E173" s="99">
        <v>5</v>
      </c>
    </row>
    <row r="174" spans="2:5" ht="15.6" customHeight="1">
      <c r="B174" s="199" t="s">
        <v>1166</v>
      </c>
      <c r="C174" s="98" t="s">
        <v>1528</v>
      </c>
      <c r="D174" s="199" t="s">
        <v>1409</v>
      </c>
      <c r="E174" s="99">
        <v>2</v>
      </c>
    </row>
    <row r="175" spans="2:5" ht="15.6" customHeight="1">
      <c r="B175" s="199" t="s">
        <v>1173</v>
      </c>
      <c r="C175" s="98" t="s">
        <v>1529</v>
      </c>
      <c r="D175" s="199" t="s">
        <v>1419</v>
      </c>
      <c r="E175" s="99">
        <v>14</v>
      </c>
    </row>
    <row r="176" spans="2:5" ht="15.6" customHeight="1">
      <c r="B176" s="103" t="s">
        <v>1175</v>
      </c>
      <c r="C176" s="98" t="s">
        <v>1530</v>
      </c>
      <c r="D176" s="199" t="s">
        <v>1409</v>
      </c>
      <c r="E176" s="99">
        <v>2</v>
      </c>
    </row>
    <row r="177" spans="2:5" ht="15.6" customHeight="1">
      <c r="B177" s="45" t="s">
        <v>1183</v>
      </c>
      <c r="C177" s="45" t="s">
        <v>1531</v>
      </c>
      <c r="D177" s="45" t="s">
        <v>965</v>
      </c>
      <c r="E177" s="97">
        <v>4</v>
      </c>
    </row>
    <row r="178" spans="2:5" ht="15.6" customHeight="1">
      <c r="B178" s="45" t="s">
        <v>1197</v>
      </c>
      <c r="C178" s="45" t="s">
        <v>1532</v>
      </c>
      <c r="D178" s="45" t="s">
        <v>599</v>
      </c>
      <c r="E178" s="97">
        <v>10</v>
      </c>
    </row>
    <row r="179" spans="2:5" ht="15.6" customHeight="1">
      <c r="B179" s="199" t="s">
        <v>1199</v>
      </c>
      <c r="C179" s="199" t="s">
        <v>1533</v>
      </c>
      <c r="D179" s="199" t="s">
        <v>1426</v>
      </c>
      <c r="E179" s="97">
        <v>12</v>
      </c>
    </row>
    <row r="180" spans="2:5" ht="15.6" customHeight="1">
      <c r="B180" s="45" t="s">
        <v>1201</v>
      </c>
      <c r="C180" s="199" t="s">
        <v>1534</v>
      </c>
      <c r="D180" s="199" t="s">
        <v>1459</v>
      </c>
      <c r="E180" s="97">
        <v>15</v>
      </c>
    </row>
    <row r="181" spans="2:5" ht="15.6" customHeight="1">
      <c r="B181" s="45" t="s">
        <v>1206</v>
      </c>
      <c r="C181" s="45" t="s">
        <v>1535</v>
      </c>
      <c r="D181" s="45" t="s">
        <v>212</v>
      </c>
      <c r="E181" s="97">
        <v>11</v>
      </c>
    </row>
    <row r="182" spans="2:5" ht="15.6" customHeight="1">
      <c r="B182" s="45" t="s">
        <v>1210</v>
      </c>
      <c r="C182" s="45" t="s">
        <v>1536</v>
      </c>
      <c r="D182" s="45" t="s">
        <v>1270</v>
      </c>
      <c r="E182" s="97">
        <v>8</v>
      </c>
    </row>
    <row r="183" spans="2:5" ht="15.6" customHeight="1">
      <c r="B183" s="199" t="s">
        <v>1215</v>
      </c>
      <c r="C183" s="199" t="s">
        <v>1521</v>
      </c>
      <c r="D183" s="199" t="s">
        <v>1429</v>
      </c>
      <c r="E183" s="97">
        <v>6</v>
      </c>
    </row>
    <row r="184" spans="2:5" ht="15.6" customHeight="1">
      <c r="B184" s="199" t="s">
        <v>1224</v>
      </c>
      <c r="C184" s="199" t="s">
        <v>1484</v>
      </c>
      <c r="D184" s="199" t="s">
        <v>1419</v>
      </c>
      <c r="E184" s="101">
        <v>14</v>
      </c>
    </row>
    <row r="185" spans="2:5" ht="15.6" customHeight="1">
      <c r="B185" s="199" t="s">
        <v>1227</v>
      </c>
      <c r="C185" s="98" t="s">
        <v>1537</v>
      </c>
      <c r="D185" s="199" t="s">
        <v>1426</v>
      </c>
      <c r="E185" s="97">
        <v>12</v>
      </c>
    </row>
    <row r="186" spans="2:5" ht="15.6" customHeight="1">
      <c r="B186" s="199" t="s">
        <v>1238</v>
      </c>
      <c r="C186" s="98" t="s">
        <v>308</v>
      </c>
      <c r="D186" s="199" t="s">
        <v>296</v>
      </c>
      <c r="E186" s="99">
        <v>16</v>
      </c>
    </row>
    <row r="187" spans="2:5" ht="15.6" customHeight="1">
      <c r="B187" s="199" t="s">
        <v>1240</v>
      </c>
      <c r="C187" s="98" t="s">
        <v>308</v>
      </c>
      <c r="D187" s="199" t="s">
        <v>296</v>
      </c>
      <c r="E187" s="99">
        <v>16</v>
      </c>
    </row>
    <row r="188" spans="2:5" ht="15.6" customHeight="1">
      <c r="B188" s="199" t="s">
        <v>1242</v>
      </c>
      <c r="C188" s="45" t="s">
        <v>1538</v>
      </c>
      <c r="D188" s="199" t="s">
        <v>1426</v>
      </c>
      <c r="E188" s="97">
        <v>12</v>
      </c>
    </row>
    <row r="189" spans="2:5" ht="15.6" customHeight="1">
      <c r="B189" s="199" t="s">
        <v>1248</v>
      </c>
      <c r="C189" s="45" t="s">
        <v>1539</v>
      </c>
      <c r="D189" s="199" t="s">
        <v>1426</v>
      </c>
      <c r="E189" s="97">
        <v>12</v>
      </c>
    </row>
    <row r="190" spans="2:5" ht="15.6" customHeight="1">
      <c r="B190" s="199" t="s">
        <v>1252</v>
      </c>
      <c r="C190" s="98" t="s">
        <v>964</v>
      </c>
      <c r="D190" s="199" t="s">
        <v>965</v>
      </c>
      <c r="E190" s="99">
        <v>4</v>
      </c>
    </row>
    <row r="191" spans="2:5" ht="15.6" customHeight="1">
      <c r="B191" s="199" t="s">
        <v>1260</v>
      </c>
      <c r="C191" s="98" t="s">
        <v>1540</v>
      </c>
      <c r="D191" s="199" t="s">
        <v>1426</v>
      </c>
      <c r="E191" s="97">
        <v>12</v>
      </c>
    </row>
    <row r="192" spans="2:5" ht="15.6" customHeight="1">
      <c r="B192" s="105" t="s">
        <v>1274</v>
      </c>
      <c r="C192" s="98" t="s">
        <v>1269</v>
      </c>
      <c r="D192" s="199" t="s">
        <v>1270</v>
      </c>
      <c r="E192" s="97">
        <v>8</v>
      </c>
    </row>
    <row r="193" spans="2:5" ht="15.6" customHeight="1">
      <c r="B193" s="105" t="s">
        <v>1276</v>
      </c>
      <c r="C193" s="98" t="s">
        <v>1269</v>
      </c>
      <c r="D193" s="199" t="s">
        <v>1270</v>
      </c>
      <c r="E193" s="97">
        <v>8</v>
      </c>
    </row>
    <row r="194" spans="2:5" ht="15.6" customHeight="1">
      <c r="B194" s="45" t="s">
        <v>1278</v>
      </c>
      <c r="C194" s="199" t="s">
        <v>1541</v>
      </c>
      <c r="D194" s="199" t="s">
        <v>212</v>
      </c>
      <c r="E194" s="97">
        <v>11</v>
      </c>
    </row>
    <row r="195" spans="2:5" ht="15.6" customHeight="1">
      <c r="B195" s="199" t="s">
        <v>1283</v>
      </c>
      <c r="C195" s="98" t="s">
        <v>1437</v>
      </c>
      <c r="D195" s="199" t="s">
        <v>645</v>
      </c>
      <c r="E195" s="97">
        <v>13</v>
      </c>
    </row>
    <row r="196" spans="2:5" ht="15.6" customHeight="1">
      <c r="B196" s="45" t="s">
        <v>1290</v>
      </c>
      <c r="C196" s="98" t="s">
        <v>295</v>
      </c>
      <c r="D196" s="199" t="s">
        <v>296</v>
      </c>
      <c r="E196" s="99">
        <v>16</v>
      </c>
    </row>
    <row r="197" spans="2:5" ht="15.6" customHeight="1">
      <c r="B197" s="199" t="s">
        <v>1297</v>
      </c>
      <c r="C197" s="98" t="s">
        <v>295</v>
      </c>
      <c r="D197" s="199" t="s">
        <v>296</v>
      </c>
      <c r="E197" s="99">
        <v>16</v>
      </c>
    </row>
    <row r="198" spans="2:5" ht="15.6" customHeight="1">
      <c r="B198" s="199" t="s">
        <v>1301</v>
      </c>
      <c r="C198" s="199" t="s">
        <v>1542</v>
      </c>
      <c r="D198" s="199" t="s">
        <v>1409</v>
      </c>
      <c r="E198" s="97">
        <v>2</v>
      </c>
    </row>
    <row r="199" spans="2:5" ht="15.6" customHeight="1">
      <c r="B199" s="199" t="s">
        <v>1305</v>
      </c>
      <c r="C199" s="98" t="s">
        <v>1537</v>
      </c>
      <c r="D199" s="199" t="s">
        <v>1426</v>
      </c>
      <c r="E199" s="97">
        <v>12</v>
      </c>
    </row>
    <row r="200" spans="2:5" ht="15.6" customHeight="1">
      <c r="B200" s="199" t="s">
        <v>1310</v>
      </c>
      <c r="C200" s="199" t="s">
        <v>1543</v>
      </c>
      <c r="D200" s="199" t="s">
        <v>1467</v>
      </c>
      <c r="E200" s="97">
        <v>15</v>
      </c>
    </row>
    <row r="201" spans="2:5" ht="15.6" customHeight="1">
      <c r="B201" s="45" t="s">
        <v>1319</v>
      </c>
      <c r="C201" s="199" t="s">
        <v>1544</v>
      </c>
      <c r="D201" s="199" t="s">
        <v>1429</v>
      </c>
      <c r="E201" s="97">
        <v>6</v>
      </c>
    </row>
    <row r="202" spans="2:5" ht="15.6" customHeight="1">
      <c r="B202" s="45" t="s">
        <v>1328</v>
      </c>
      <c r="C202" s="199" t="s">
        <v>1545</v>
      </c>
      <c r="D202" s="199" t="s">
        <v>322</v>
      </c>
      <c r="E202" s="97">
        <v>6</v>
      </c>
    </row>
    <row r="203" spans="2:5" ht="15.6" customHeight="1">
      <c r="B203" s="151" t="s">
        <v>1338</v>
      </c>
      <c r="C203" s="169" t="s">
        <v>295</v>
      </c>
      <c r="D203" s="151" t="s">
        <v>296</v>
      </c>
      <c r="E203" s="170">
        <v>16</v>
      </c>
    </row>
  </sheetData>
  <mergeCells count="1">
    <mergeCell ref="B4:E7"/>
  </mergeCells>
  <pageMargins left="0.7" right="0.7" top="0.75" bottom="0.75" header="0.3" footer="0.3"/>
  <pageSetup orientation="portrait" r:id="rId1"/>
  <ignoredErrors>
    <ignoredError sqref="E158"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42F8C3-688A-4E4E-B7BE-AFB0F72A111F}">
  <sheetPr>
    <tabColor theme="5" tint="0.39997558519241921"/>
  </sheetPr>
  <dimension ref="B2:D32"/>
  <sheetViews>
    <sheetView workbookViewId="0">
      <selection activeCell="B11" sqref="B11"/>
    </sheetView>
  </sheetViews>
  <sheetFormatPr defaultColWidth="8.69921875" defaultRowHeight="15.6"/>
  <cols>
    <col min="1" max="1" width="8.69921875" style="1"/>
    <col min="2" max="2" width="14.59765625" style="1" customWidth="1"/>
    <col min="3" max="3" width="18.3984375" style="1" customWidth="1"/>
    <col min="4" max="16384" width="8.69921875" style="1"/>
  </cols>
  <sheetData>
    <row r="2" spans="2:4" ht="25.2">
      <c r="B2" s="73" t="s">
        <v>1546</v>
      </c>
    </row>
    <row r="4" spans="2:4">
      <c r="B4" s="134" t="s">
        <v>1547</v>
      </c>
    </row>
    <row r="6" spans="2:4">
      <c r="B6" s="199" t="s">
        <v>200</v>
      </c>
      <c r="C6" s="199" t="s">
        <v>1548</v>
      </c>
      <c r="D6" s="199"/>
    </row>
    <row r="7" spans="2:4">
      <c r="B7" s="199" t="s">
        <v>165</v>
      </c>
      <c r="C7" s="199" t="s">
        <v>1549</v>
      </c>
      <c r="D7" s="199"/>
    </row>
    <row r="8" spans="2:4">
      <c r="B8" s="199" t="s">
        <v>784</v>
      </c>
      <c r="C8" s="199" t="s">
        <v>1550</v>
      </c>
      <c r="D8" s="199"/>
    </row>
    <row r="9" spans="2:4">
      <c r="B9" s="199" t="s">
        <v>292</v>
      </c>
      <c r="C9" s="199" t="s">
        <v>1551</v>
      </c>
      <c r="D9" s="199"/>
    </row>
    <row r="10" spans="2:4">
      <c r="B10" s="199" t="s">
        <v>665</v>
      </c>
      <c r="C10" s="199" t="s">
        <v>1552</v>
      </c>
      <c r="D10" s="199"/>
    </row>
    <row r="14" spans="2:4">
      <c r="B14" s="134" t="s">
        <v>1553</v>
      </c>
    </row>
    <row r="16" spans="2:4">
      <c r="B16" s="142" t="s">
        <v>1554</v>
      </c>
      <c r="C16" s="22" t="s">
        <v>1555</v>
      </c>
      <c r="D16" s="22" t="s">
        <v>1556</v>
      </c>
    </row>
    <row r="17" spans="2:4">
      <c r="B17" s="141">
        <v>1</v>
      </c>
      <c r="C17" s="199" t="s">
        <v>1068</v>
      </c>
      <c r="D17" s="199" t="s">
        <v>1557</v>
      </c>
    </row>
    <row r="18" spans="2:4">
      <c r="B18" s="141">
        <v>2</v>
      </c>
      <c r="C18" s="199" t="s">
        <v>1409</v>
      </c>
      <c r="D18" s="199" t="s">
        <v>1558</v>
      </c>
    </row>
    <row r="19" spans="2:4">
      <c r="B19" s="141">
        <v>3</v>
      </c>
      <c r="C19" s="199" t="s">
        <v>1411</v>
      </c>
      <c r="D19" s="199" t="s">
        <v>1559</v>
      </c>
    </row>
    <row r="20" spans="2:4">
      <c r="B20" s="141">
        <v>4</v>
      </c>
      <c r="C20" s="199" t="s">
        <v>965</v>
      </c>
      <c r="D20" s="199" t="s">
        <v>1560</v>
      </c>
    </row>
    <row r="21" spans="2:4">
      <c r="B21" s="141">
        <v>5</v>
      </c>
      <c r="C21" s="199" t="s">
        <v>1405</v>
      </c>
      <c r="D21" s="199" t="s">
        <v>1561</v>
      </c>
    </row>
    <row r="22" spans="2:4">
      <c r="B22" s="141">
        <v>6</v>
      </c>
      <c r="C22" s="199" t="s">
        <v>1423</v>
      </c>
      <c r="D22" s="199" t="s">
        <v>1562</v>
      </c>
    </row>
    <row r="23" spans="2:4">
      <c r="B23" s="141">
        <v>7</v>
      </c>
      <c r="C23" s="199" t="s">
        <v>1413</v>
      </c>
      <c r="D23" s="199" t="s">
        <v>1563</v>
      </c>
    </row>
    <row r="24" spans="2:4">
      <c r="B24" s="141">
        <v>8</v>
      </c>
      <c r="C24" s="199" t="s">
        <v>1270</v>
      </c>
      <c r="D24" s="199" t="s">
        <v>1564</v>
      </c>
    </row>
    <row r="25" spans="2:4">
      <c r="B25" s="141">
        <v>9</v>
      </c>
      <c r="C25" s="199" t="s">
        <v>1421</v>
      </c>
      <c r="D25" s="199" t="s">
        <v>1565</v>
      </c>
    </row>
    <row r="26" spans="2:4">
      <c r="B26" s="141">
        <v>10</v>
      </c>
      <c r="C26" s="199" t="s">
        <v>599</v>
      </c>
      <c r="D26" s="199" t="s">
        <v>1566</v>
      </c>
    </row>
    <row r="27" spans="2:4">
      <c r="B27" s="141">
        <v>11</v>
      </c>
      <c r="C27" s="199" t="s">
        <v>212</v>
      </c>
      <c r="D27" s="199" t="s">
        <v>1567</v>
      </c>
    </row>
    <row r="28" spans="2:4">
      <c r="B28" s="141">
        <v>12</v>
      </c>
      <c r="C28" s="199" t="s">
        <v>1426</v>
      </c>
      <c r="D28" s="199" t="s">
        <v>1568</v>
      </c>
    </row>
    <row r="29" spans="2:4">
      <c r="B29" s="141">
        <v>13</v>
      </c>
      <c r="C29" s="199" t="s">
        <v>645</v>
      </c>
      <c r="D29" s="199" t="s">
        <v>1569</v>
      </c>
    </row>
    <row r="30" spans="2:4">
      <c r="B30" s="141">
        <v>14</v>
      </c>
      <c r="C30" s="199" t="s">
        <v>1419</v>
      </c>
      <c r="D30" s="199" t="s">
        <v>1570</v>
      </c>
    </row>
    <row r="31" spans="2:4">
      <c r="B31" s="141">
        <v>15</v>
      </c>
      <c r="C31" s="199" t="s">
        <v>1571</v>
      </c>
      <c r="D31" s="199" t="s">
        <v>1572</v>
      </c>
    </row>
    <row r="32" spans="2:4">
      <c r="B32" s="141">
        <v>16</v>
      </c>
      <c r="C32" s="199" t="s">
        <v>296</v>
      </c>
      <c r="D32" s="199" t="s">
        <v>1573</v>
      </c>
    </row>
  </sheetData>
  <sortState xmlns:xlrd2="http://schemas.microsoft.com/office/spreadsheetml/2017/richdata2" ref="B6:B10">
    <sortCondition ref="B6:B10"/>
  </sortState>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2A9BE-43F8-45BA-AAEF-085539B684F9}">
  <sheetPr>
    <tabColor theme="8" tint="0.59999389629810485"/>
  </sheetPr>
  <dimension ref="B2:M13"/>
  <sheetViews>
    <sheetView zoomScaleNormal="100" workbookViewId="0"/>
  </sheetViews>
  <sheetFormatPr defaultColWidth="8.69921875" defaultRowHeight="15.6"/>
  <cols>
    <col min="1" max="1" width="8.69921875" style="1"/>
    <col min="2" max="2" width="26.5" style="1" bestFit="1" customWidth="1"/>
    <col min="3" max="3" width="13.19921875" style="1" customWidth="1"/>
    <col min="4" max="4" width="13.19921875" style="1" bestFit="1" customWidth="1"/>
    <col min="5" max="5" width="19.5" style="1" bestFit="1" customWidth="1"/>
    <col min="6" max="6" width="21.59765625" style="1" bestFit="1" customWidth="1"/>
    <col min="7" max="7" width="38.09765625" style="1" bestFit="1" customWidth="1"/>
    <col min="8" max="16384" width="8.69921875" style="1"/>
  </cols>
  <sheetData>
    <row r="2" spans="2:13" ht="25.2">
      <c r="B2" s="73" t="s">
        <v>1574</v>
      </c>
    </row>
    <row r="4" spans="2:13" ht="130.19999999999999" customHeight="1">
      <c r="B4" s="209" t="s">
        <v>1575</v>
      </c>
      <c r="C4" s="209"/>
      <c r="D4" s="209"/>
      <c r="E4" s="209"/>
      <c r="F4" s="209"/>
      <c r="G4" s="209"/>
      <c r="H4" s="196"/>
    </row>
    <row r="6" spans="2:13" ht="17.399999999999999" customHeight="1">
      <c r="B6" s="66" t="s">
        <v>1576</v>
      </c>
      <c r="C6" s="66" t="s">
        <v>1577</v>
      </c>
      <c r="D6" s="66" t="s">
        <v>1578</v>
      </c>
      <c r="E6" s="66" t="s">
        <v>1579</v>
      </c>
      <c r="F6" s="66" t="s">
        <v>1580</v>
      </c>
      <c r="G6" s="66" t="s">
        <v>1581</v>
      </c>
      <c r="I6" s="208"/>
      <c r="J6" s="208"/>
      <c r="K6" s="208"/>
      <c r="L6" s="208"/>
      <c r="M6" s="208"/>
    </row>
    <row r="7" spans="2:13" ht="18">
      <c r="B7" s="7"/>
      <c r="C7" s="9"/>
      <c r="D7" s="9"/>
      <c r="E7" s="65" t="s">
        <v>1582</v>
      </c>
      <c r="F7" s="65" t="s">
        <v>1583</v>
      </c>
      <c r="G7" s="65" t="s">
        <v>1584</v>
      </c>
    </row>
    <row r="8" spans="2:13" ht="18">
      <c r="B8" s="62" t="s">
        <v>1585</v>
      </c>
      <c r="C8" s="62">
        <v>423</v>
      </c>
      <c r="D8" s="62">
        <f>'Fig 5.6 Orders and Ukraine'!C7</f>
        <v>226</v>
      </c>
      <c r="E8" s="190">
        <f>'Fig 5.6 Orders and Ukraine'!D7/(30/12)</f>
        <v>14</v>
      </c>
      <c r="F8" s="63">
        <f>((C8-D8)/E8)+2024</f>
        <v>2038.0714285714287</v>
      </c>
      <c r="G8" s="64" t="s">
        <v>1586</v>
      </c>
    </row>
    <row r="9" spans="2:13" ht="18">
      <c r="B9" s="62" t="s">
        <v>1587</v>
      </c>
      <c r="C9" s="62">
        <v>2398</v>
      </c>
      <c r="D9" s="62">
        <f>'Fig 5.6 Orders and Ukraine'!C8</f>
        <v>339</v>
      </c>
      <c r="E9" s="190">
        <f>'Fig 5.6 Orders and Ukraine'!D8/(30/12)</f>
        <v>49.2</v>
      </c>
      <c r="F9" s="63">
        <f>((C9-D9)/E9)+2024</f>
        <v>2065.8495934959351</v>
      </c>
      <c r="G9" s="190">
        <f>D9/131</f>
        <v>2.5877862595419847</v>
      </c>
    </row>
    <row r="10" spans="2:13" ht="18">
      <c r="B10" s="62" t="s">
        <v>1588</v>
      </c>
      <c r="C10" s="62">
        <v>2122</v>
      </c>
      <c r="D10" s="62">
        <f>'Fig 5.6 Orders and Ukraine'!C9</f>
        <v>674</v>
      </c>
      <c r="E10" s="190">
        <f>'Fig 5.6 Orders and Ukraine'!D9/(30/12)</f>
        <v>77.2</v>
      </c>
      <c r="F10" s="63">
        <f>((C10-D10)/E10)+2024</f>
        <v>2042.7564766839378</v>
      </c>
      <c r="G10" s="191">
        <f>D10/(479*0.35)</f>
        <v>4.0202803459588434</v>
      </c>
    </row>
    <row r="11" spans="2:13" ht="18">
      <c r="B11" s="62" t="s">
        <v>1589</v>
      </c>
      <c r="C11" s="62">
        <v>3646</v>
      </c>
      <c r="D11" s="62">
        <f>'Fig 5.6 Orders and Ukraine'!C10</f>
        <v>2067</v>
      </c>
      <c r="E11" s="190">
        <f>'Fig 5.6 Orders and Ukraine'!D10/(30/12)</f>
        <v>770</v>
      </c>
      <c r="F11" s="63">
        <f>((C11-D11)/E11)+2024</f>
        <v>2026.0506493506493</v>
      </c>
      <c r="G11" s="191">
        <f>D11/(479*0.65)</f>
        <v>6.6388308977035484</v>
      </c>
    </row>
    <row r="12" spans="2:13" ht="18">
      <c r="B12" s="62" t="s">
        <v>1590</v>
      </c>
      <c r="C12" s="62">
        <v>978</v>
      </c>
      <c r="D12" s="62">
        <f>'Fig 5.6 Orders and Ukraine'!C11</f>
        <v>121</v>
      </c>
      <c r="E12" s="190">
        <f>'Fig 5.6 Orders and Ukraine'!D11/(30/12)</f>
        <v>8.8000000000000007</v>
      </c>
      <c r="F12" s="63">
        <f>((C12-D12)/E12)+2024</f>
        <v>2121.3863636363635</v>
      </c>
      <c r="G12" s="190">
        <f>D12/38</f>
        <v>3.1842105263157894</v>
      </c>
    </row>
    <row r="13" spans="2:13" ht="18">
      <c r="B13" s="145" t="s">
        <v>1591</v>
      </c>
      <c r="C13" s="146" t="s">
        <v>1586</v>
      </c>
      <c r="D13" s="145">
        <f>'Fig 5.6 Orders and Ukraine'!C12</f>
        <v>12</v>
      </c>
      <c r="E13" s="192">
        <f>'Fig 5.6 Orders and Ukraine'!D12/(30/12)</f>
        <v>6</v>
      </c>
      <c r="F13" s="147" t="s">
        <v>1586</v>
      </c>
      <c r="G13" s="192">
        <f>D13/4</f>
        <v>3</v>
      </c>
    </row>
  </sheetData>
  <mergeCells count="2">
    <mergeCell ref="I6:M6"/>
    <mergeCell ref="B4:G4"/>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8BC80-EDC7-471F-9591-2C39FE1627E2}">
  <sheetPr>
    <tabColor theme="8" tint="0.59999389629810485"/>
  </sheetPr>
  <dimension ref="A2:J63"/>
  <sheetViews>
    <sheetView zoomScaleNormal="100" workbookViewId="0"/>
  </sheetViews>
  <sheetFormatPr defaultColWidth="8.69921875" defaultRowHeight="15.6"/>
  <cols>
    <col min="1" max="1" width="8.69921875" style="1"/>
    <col min="2" max="2" width="13.5" style="1" customWidth="1"/>
    <col min="3" max="3" width="27.09765625" style="1" bestFit="1" customWidth="1"/>
    <col min="4" max="16384" width="8.69921875" style="1"/>
  </cols>
  <sheetData>
    <row r="2" spans="1:10" ht="25.2">
      <c r="B2" s="67" t="s">
        <v>1592</v>
      </c>
    </row>
    <row r="4" spans="1:10" ht="130.19999999999999" customHeight="1">
      <c r="B4" s="207" t="s">
        <v>1593</v>
      </c>
      <c r="C4" s="207"/>
      <c r="D4" s="207"/>
      <c r="E4" s="207"/>
      <c r="F4" s="207"/>
      <c r="G4" s="207"/>
      <c r="H4" s="207"/>
      <c r="I4" s="207"/>
      <c r="J4" s="207"/>
    </row>
    <row r="6" spans="1:10" ht="21" customHeight="1">
      <c r="B6" s="161" t="s">
        <v>1404</v>
      </c>
      <c r="C6" s="162" t="s">
        <v>1594</v>
      </c>
      <c r="D6" s="3"/>
    </row>
    <row r="7" spans="1:10">
      <c r="A7" s="72">
        <v>1</v>
      </c>
      <c r="B7" s="68">
        <v>43831</v>
      </c>
      <c r="C7" s="61">
        <f>(SUMIFS('MAIN DATA, Orders'!$M:$M,'MAIN DATA, Orders'!$Q:$Q,$A7,'MAIN DATA, Orders'!$C:$C,"Germany")/1000000000)</f>
        <v>0</v>
      </c>
      <c r="D7" s="4"/>
    </row>
    <row r="8" spans="1:10">
      <c r="A8" s="72">
        <v>2</v>
      </c>
      <c r="B8" s="68">
        <v>43862</v>
      </c>
      <c r="C8" s="61">
        <f>(SUMIFS('MAIN DATA, Orders'!$M:$M,'MAIN DATA, Orders'!$Q:$Q,$A8,'MAIN DATA, Orders'!$C:$C,"Germany")/1000000000)</f>
        <v>0</v>
      </c>
      <c r="D8" s="4"/>
    </row>
    <row r="9" spans="1:10">
      <c r="A9" s="72">
        <v>3</v>
      </c>
      <c r="B9" s="68">
        <v>43891</v>
      </c>
      <c r="C9" s="61">
        <f>(SUMIFS('MAIN DATA, Orders'!$M:$M,'MAIN DATA, Orders'!$Q:$Q,$A9,'MAIN DATA, Orders'!$C:$C,"Germany")/1000000000)</f>
        <v>0</v>
      </c>
      <c r="D9" s="4"/>
    </row>
    <row r="10" spans="1:10">
      <c r="A10" s="72">
        <v>4</v>
      </c>
      <c r="B10" s="68">
        <v>43922</v>
      </c>
      <c r="C10" s="61">
        <f>(SUMIFS('MAIN DATA, Orders'!$M:$M,'MAIN DATA, Orders'!$Q:$Q,$A10,'MAIN DATA, Orders'!$C:$C,"Germany")/1000000000)</f>
        <v>0</v>
      </c>
      <c r="D10" s="4"/>
    </row>
    <row r="11" spans="1:10">
      <c r="A11" s="72">
        <v>5</v>
      </c>
      <c r="B11" s="68">
        <v>43952</v>
      </c>
      <c r="C11" s="61">
        <f>(SUMIFS('MAIN DATA, Orders'!$M:$M,'MAIN DATA, Orders'!$Q:$Q,$A11,'MAIN DATA, Orders'!$C:$C,"Germany")/1000000000)</f>
        <v>0.03</v>
      </c>
      <c r="D11" s="4"/>
    </row>
    <row r="12" spans="1:10">
      <c r="A12" s="72">
        <v>6</v>
      </c>
      <c r="B12" s="68">
        <v>43983</v>
      </c>
      <c r="C12" s="61">
        <f>(SUMIFS('MAIN DATA, Orders'!$M:$M,'MAIN DATA, Orders'!$Q:$Q,$A12,'MAIN DATA, Orders'!$C:$C,"Germany")/1000000000)</f>
        <v>13</v>
      </c>
      <c r="D12" s="4"/>
    </row>
    <row r="13" spans="1:10">
      <c r="A13" s="72">
        <v>7</v>
      </c>
      <c r="B13" s="68">
        <v>44013</v>
      </c>
      <c r="C13" s="61">
        <f>(SUMIFS('MAIN DATA, Orders'!$M:$M,'MAIN DATA, Orders'!$Q:$Q,$A13,'MAIN DATA, Orders'!$C:$C,"Germany")/1000000000)</f>
        <v>0</v>
      </c>
      <c r="D13" s="4"/>
    </row>
    <row r="14" spans="1:10">
      <c r="A14" s="72">
        <v>8</v>
      </c>
      <c r="B14" s="68">
        <v>44044</v>
      </c>
      <c r="C14" s="61">
        <f>(SUMIFS('MAIN DATA, Orders'!$M:$M,'MAIN DATA, Orders'!$Q:$Q,$A14,'MAIN DATA, Orders'!$C:$C,"Germany")/1000000000)</f>
        <v>0.35</v>
      </c>
      <c r="D14" s="4"/>
    </row>
    <row r="15" spans="1:10">
      <c r="A15" s="72">
        <v>9</v>
      </c>
      <c r="B15" s="68">
        <v>44075</v>
      </c>
      <c r="C15" s="61">
        <f>(SUMIFS('MAIN DATA, Orders'!$M:$M,'MAIN DATA, Orders'!$Q:$Q,$A15,'MAIN DATA, Orders'!$C:$C,"Germany")/1000000000)</f>
        <v>2.3839999999999999</v>
      </c>
      <c r="D15" s="4"/>
    </row>
    <row r="16" spans="1:10">
      <c r="A16" s="72">
        <v>10</v>
      </c>
      <c r="B16" s="68">
        <v>44105</v>
      </c>
      <c r="C16" s="61">
        <f>(SUMIFS('MAIN DATA, Orders'!$M:$M,'MAIN DATA, Orders'!$Q:$Q,$A16,'MAIN DATA, Orders'!$C:$C,"Germany")/1000000000)</f>
        <v>0.04</v>
      </c>
      <c r="D16" s="4"/>
    </row>
    <row r="17" spans="1:3">
      <c r="A17" s="72">
        <v>11</v>
      </c>
      <c r="B17" s="68">
        <v>44136</v>
      </c>
      <c r="C17" s="61">
        <f>(SUMIFS('MAIN DATA, Orders'!$M:$M,'MAIN DATA, Orders'!$Q:$Q,$A17,'MAIN DATA, Orders'!$C:$C,"Germany")/1000000000)</f>
        <v>9.1859999999999999</v>
      </c>
    </row>
    <row r="18" spans="1:3">
      <c r="A18" s="72">
        <v>12</v>
      </c>
      <c r="B18" s="68">
        <v>44166</v>
      </c>
      <c r="C18" s="61">
        <f>(SUMIFS('MAIN DATA, Orders'!$M:$M,'MAIN DATA, Orders'!$Q:$Q,$A18,'MAIN DATA, Orders'!$C:$C,"Germany")/1000000000)</f>
        <v>0.45</v>
      </c>
    </row>
    <row r="19" spans="1:3">
      <c r="A19" s="72">
        <v>13</v>
      </c>
      <c r="B19" s="68">
        <v>44197</v>
      </c>
      <c r="C19" s="61">
        <f>(SUMIFS('MAIN DATA, Orders'!$M:$M,'MAIN DATA, Orders'!$Q:$Q,$A19,'MAIN DATA, Orders'!$C:$C,"Germany")/1000000000)</f>
        <v>0</v>
      </c>
    </row>
    <row r="20" spans="1:3">
      <c r="A20" s="72">
        <v>14</v>
      </c>
      <c r="B20" s="68">
        <v>44228</v>
      </c>
      <c r="C20" s="61">
        <f>(SUMIFS('MAIN DATA, Orders'!$M:$M,'MAIN DATA, Orders'!$Q:$Q,$A20,'MAIN DATA, Orders'!$C:$C,"Germany")/1000000000)</f>
        <v>8.7999999999999995E-2</v>
      </c>
    </row>
    <row r="21" spans="1:3">
      <c r="A21" s="72">
        <v>15</v>
      </c>
      <c r="B21" s="68">
        <v>44256</v>
      </c>
      <c r="C21" s="61">
        <f>(SUMIFS('MAIN DATA, Orders'!$M:$M,'MAIN DATA, Orders'!$Q:$Q,$A21,'MAIN DATA, Orders'!$C:$C,"Germany")/1000000000)</f>
        <v>0</v>
      </c>
    </row>
    <row r="22" spans="1:3">
      <c r="A22" s="72">
        <v>16</v>
      </c>
      <c r="B22" s="68">
        <v>44287</v>
      </c>
      <c r="C22" s="61">
        <f>(SUMIFS('MAIN DATA, Orders'!$M:$M,'MAIN DATA, Orders'!$Q:$Q,$A22,'MAIN DATA, Orders'!$C:$C,"Germany")/1000000000)</f>
        <v>3.7</v>
      </c>
    </row>
    <row r="23" spans="1:3">
      <c r="A23" s="72">
        <v>17</v>
      </c>
      <c r="B23" s="68">
        <v>44317</v>
      </c>
      <c r="C23" s="61">
        <f>(SUMIFS('MAIN DATA, Orders'!$M:$M,'MAIN DATA, Orders'!$Q:$Q,$A23,'MAIN DATA, Orders'!$C:$C,"Germany")/1000000000)</f>
        <v>2.4020000000000001</v>
      </c>
    </row>
    <row r="24" spans="1:3">
      <c r="A24" s="72">
        <v>18</v>
      </c>
      <c r="B24" s="68">
        <v>44348</v>
      </c>
      <c r="C24" s="61">
        <f>(SUMIFS('MAIN DATA, Orders'!$M:$M,'MAIN DATA, Orders'!$Q:$Q,$A24,'MAIN DATA, Orders'!$C:$C,"Germany")/1000000000)</f>
        <v>16.146878000000001</v>
      </c>
    </row>
    <row r="25" spans="1:3">
      <c r="A25" s="72">
        <v>19</v>
      </c>
      <c r="B25" s="68">
        <v>44378</v>
      </c>
      <c r="C25" s="61">
        <f>(SUMIFS('MAIN DATA, Orders'!$M:$M,'MAIN DATA, Orders'!$Q:$Q,$A25,'MAIN DATA, Orders'!$C:$C,"Germany")/1000000000)</f>
        <v>0</v>
      </c>
    </row>
    <row r="26" spans="1:3">
      <c r="A26" s="72">
        <v>20</v>
      </c>
      <c r="B26" s="68">
        <v>44409</v>
      </c>
      <c r="C26" s="61">
        <f>(SUMIFS('MAIN DATA, Orders'!$M:$M,'MAIN DATA, Orders'!$Q:$Q,$A26,'MAIN DATA, Orders'!$C:$C,"Germany")/1000000000)</f>
        <v>0</v>
      </c>
    </row>
    <row r="27" spans="1:3">
      <c r="A27" s="72">
        <v>21</v>
      </c>
      <c r="B27" s="68">
        <v>44440</v>
      </c>
      <c r="C27" s="61">
        <f>(SUMIFS('MAIN DATA, Orders'!$M:$M,'MAIN DATA, Orders'!$Q:$Q,$A27,'MAIN DATA, Orders'!$C:$C,"Germany")/1000000000)</f>
        <v>0</v>
      </c>
    </row>
    <row r="28" spans="1:3">
      <c r="A28" s="72">
        <v>22</v>
      </c>
      <c r="B28" s="68">
        <v>44470</v>
      </c>
      <c r="C28" s="61">
        <f>(SUMIFS('MAIN DATA, Orders'!$M:$M,'MAIN DATA, Orders'!$Q:$Q,$A28,'MAIN DATA, Orders'!$C:$C,"Germany")/1000000000)</f>
        <v>0</v>
      </c>
    </row>
    <row r="29" spans="1:3">
      <c r="A29" s="72">
        <v>23</v>
      </c>
      <c r="B29" s="68">
        <v>44501</v>
      </c>
      <c r="C29" s="61">
        <f>(SUMIFS('MAIN DATA, Orders'!$M:$M,'MAIN DATA, Orders'!$Q:$Q,$A29,'MAIN DATA, Orders'!$C:$C,"Germany")/1000000000)</f>
        <v>0</v>
      </c>
    </row>
    <row r="30" spans="1:3">
      <c r="A30" s="72">
        <v>24</v>
      </c>
      <c r="B30" s="68">
        <v>44531</v>
      </c>
      <c r="C30" s="61">
        <f>(SUMIFS('MAIN DATA, Orders'!$M:$M,'MAIN DATA, Orders'!$Q:$Q,$A30,'MAIN DATA, Orders'!$C:$C,"Germany")/1000000000)</f>
        <v>0</v>
      </c>
    </row>
    <row r="31" spans="1:3">
      <c r="A31" s="72">
        <v>25</v>
      </c>
      <c r="B31" s="68">
        <v>44562</v>
      </c>
      <c r="C31" s="61">
        <f>(SUMIFS('MAIN DATA, Orders'!$M:$M,'MAIN DATA, Orders'!$Q:$Q,$A31,'MAIN DATA, Orders'!$C:$C,"Germany")/1000000000)</f>
        <v>0</v>
      </c>
    </row>
    <row r="32" spans="1:3">
      <c r="A32" s="72">
        <v>26</v>
      </c>
      <c r="B32" s="68">
        <v>44593</v>
      </c>
      <c r="C32" s="61">
        <f>(SUMIFS('MAIN DATA, Orders'!$M:$M,'MAIN DATA, Orders'!$Q:$Q,$A32,'MAIN DATA, Orders'!$C:$C,"Germany")/1000000000)</f>
        <v>0</v>
      </c>
    </row>
    <row r="33" spans="1:3">
      <c r="A33" s="72">
        <v>27</v>
      </c>
      <c r="B33" s="68">
        <v>44621</v>
      </c>
      <c r="C33" s="61">
        <f>(SUMIFS('MAIN DATA, Orders'!$M:$M,'MAIN DATA, Orders'!$Q:$Q,$A33,'MAIN DATA, Orders'!$C:$C,"Germany")/1000000000)</f>
        <v>0</v>
      </c>
    </row>
    <row r="34" spans="1:3">
      <c r="A34" s="72">
        <v>28</v>
      </c>
      <c r="B34" s="68">
        <v>44652</v>
      </c>
      <c r="C34" s="61">
        <f>(SUMIFS('MAIN DATA, Orders'!$M:$M,'MAIN DATA, Orders'!$Q:$Q,$A34,'MAIN DATA, Orders'!$C:$C,"Germany")/1000000000)</f>
        <v>0.15</v>
      </c>
    </row>
    <row r="35" spans="1:3">
      <c r="A35" s="72">
        <v>29</v>
      </c>
      <c r="B35" s="68">
        <v>44682</v>
      </c>
      <c r="C35" s="61">
        <f>(SUMIFS('MAIN DATA, Orders'!$M:$M,'MAIN DATA, Orders'!$Q:$Q,$A35,'MAIN DATA, Orders'!$C:$C,"Germany")/1000000000)</f>
        <v>2.5139</v>
      </c>
    </row>
    <row r="36" spans="1:3">
      <c r="A36" s="72">
        <v>30</v>
      </c>
      <c r="B36" s="68">
        <v>44713</v>
      </c>
      <c r="C36" s="61">
        <f>(SUMIFS('MAIN DATA, Orders'!$M:$M,'MAIN DATA, Orders'!$Q:$Q,$A36,'MAIN DATA, Orders'!$C:$C,"Germany")/1000000000)</f>
        <v>0.13600000000000001</v>
      </c>
    </row>
    <row r="37" spans="1:3">
      <c r="A37" s="72">
        <v>31</v>
      </c>
      <c r="B37" s="68">
        <v>44743</v>
      </c>
      <c r="C37" s="61">
        <f>(SUMIFS('MAIN DATA, Orders'!$M:$M,'MAIN DATA, Orders'!$Q:$Q,$A37,'MAIN DATA, Orders'!$C:$C,"Germany")/1000000000)</f>
        <v>7.5159000000000002</v>
      </c>
    </row>
    <row r="38" spans="1:3">
      <c r="A38" s="72">
        <v>32</v>
      </c>
      <c r="B38" s="68">
        <v>44774</v>
      </c>
      <c r="C38" s="61">
        <f>(SUMIFS('MAIN DATA, Orders'!$M:$M,'MAIN DATA, Orders'!$Q:$Q,$A38,'MAIN DATA, Orders'!$C:$C,"Germany")/1000000000)</f>
        <v>0</v>
      </c>
    </row>
    <row r="39" spans="1:3">
      <c r="A39" s="72">
        <v>33</v>
      </c>
      <c r="B39" s="68">
        <v>44805</v>
      </c>
      <c r="C39" s="61">
        <f>(SUMIFS('MAIN DATA, Orders'!$M:$M,'MAIN DATA, Orders'!$Q:$Q,$A39,'MAIN DATA, Orders'!$C:$C,"Germany")/1000000000)</f>
        <v>0.63700000000000001</v>
      </c>
    </row>
    <row r="40" spans="1:3">
      <c r="A40" s="72">
        <v>34</v>
      </c>
      <c r="B40" s="68">
        <v>44835</v>
      </c>
      <c r="C40" s="61">
        <f>(SUMIFS('MAIN DATA, Orders'!$M:$M,'MAIN DATA, Orders'!$Q:$Q,$A40,'MAIN DATA, Orders'!$C:$C,"Germany")/1000000000)</f>
        <v>0.10489999999999999</v>
      </c>
    </row>
    <row r="41" spans="1:3">
      <c r="A41" s="72">
        <v>35</v>
      </c>
      <c r="B41" s="68">
        <v>44866</v>
      </c>
      <c r="C41" s="61">
        <f>(SUMIFS('MAIN DATA, Orders'!$M:$M,'MAIN DATA, Orders'!$Q:$Q,$A41,'MAIN DATA, Orders'!$C:$C,"Germany")/1000000000)</f>
        <v>0.15545</v>
      </c>
    </row>
    <row r="42" spans="1:3">
      <c r="A42" s="72">
        <v>36</v>
      </c>
      <c r="B42" s="68">
        <v>44896</v>
      </c>
      <c r="C42" s="61">
        <f>(SUMIFS('MAIN DATA, Orders'!$M:$M,'MAIN DATA, Orders'!$Q:$Q,$A42,'MAIN DATA, Orders'!$C:$C,"Germany")/1000000000)</f>
        <v>9.8840000000000003</v>
      </c>
    </row>
    <row r="43" spans="1:3">
      <c r="A43" s="72">
        <v>37</v>
      </c>
      <c r="B43" s="68">
        <v>44927</v>
      </c>
      <c r="C43" s="61">
        <f>(SUMIFS('MAIN DATA, Orders'!$M:$M,'MAIN DATA, Orders'!$Q:$Q,$A43,'MAIN DATA, Orders'!$C:$C,"Germany")/1000000000)</f>
        <v>0</v>
      </c>
    </row>
    <row r="44" spans="1:3">
      <c r="A44" s="72">
        <v>38</v>
      </c>
      <c r="B44" s="68">
        <v>44958</v>
      </c>
      <c r="C44" s="61">
        <f>(SUMIFS('MAIN DATA, Orders'!$M:$M,'MAIN DATA, Orders'!$Q:$Q,$A44,'MAIN DATA, Orders'!$C:$C,"Germany")/1000000000)</f>
        <v>0.2208</v>
      </c>
    </row>
    <row r="45" spans="1:3">
      <c r="A45" s="72">
        <v>39</v>
      </c>
      <c r="B45" s="68">
        <v>44986</v>
      </c>
      <c r="C45" s="61">
        <f>(SUMIFS('MAIN DATA, Orders'!$M:$M,'MAIN DATA, Orders'!$Q:$Q,$A45,'MAIN DATA, Orders'!$C:$C,"Germany")/1000000000)</f>
        <v>1.3744000000000001</v>
      </c>
    </row>
    <row r="46" spans="1:3">
      <c r="A46" s="72">
        <v>40</v>
      </c>
      <c r="B46" s="68">
        <v>45017</v>
      </c>
      <c r="C46" s="61">
        <f>(SUMIFS('MAIN DATA, Orders'!$M:$M,'MAIN DATA, Orders'!$Q:$Q,$A46,'MAIN DATA, Orders'!$C:$C,"Germany")/1000000000)</f>
        <v>0.76700000000000002</v>
      </c>
    </row>
    <row r="47" spans="1:3">
      <c r="A47" s="72">
        <v>41</v>
      </c>
      <c r="B47" s="68">
        <v>45047</v>
      </c>
      <c r="C47" s="61">
        <f>(SUMIFS('MAIN DATA, Orders'!$M:$M,'MAIN DATA, Orders'!$Q:$Q,$A47,'MAIN DATA, Orders'!$C:$C,"Germany")/1000000000)</f>
        <v>2.0152999999999999</v>
      </c>
    </row>
    <row r="48" spans="1:3">
      <c r="A48" s="72">
        <v>42</v>
      </c>
      <c r="B48" s="68">
        <v>45078</v>
      </c>
      <c r="C48" s="61">
        <f>(SUMIFS('MAIN DATA, Orders'!$M:$M,'MAIN DATA, Orders'!$Q:$Q,$A48,'MAIN DATA, Orders'!$C:$C,"Germany")/1000000000)</f>
        <v>1.8532</v>
      </c>
    </row>
    <row r="49" spans="1:3">
      <c r="A49" s="72">
        <v>43</v>
      </c>
      <c r="B49" s="68">
        <v>45108</v>
      </c>
      <c r="C49" s="61">
        <f>(SUMIFS('MAIN DATA, Orders'!$M:$M,'MAIN DATA, Orders'!$Q:$Q,$A49,'MAIN DATA, Orders'!$C:$C,"Germany")/1000000000)</f>
        <v>9.7448999999999995</v>
      </c>
    </row>
    <row r="50" spans="1:3">
      <c r="A50" s="72">
        <v>44</v>
      </c>
      <c r="B50" s="68">
        <v>45139</v>
      </c>
      <c r="C50" s="61">
        <f>(SUMIFS('MAIN DATA, Orders'!$M:$M,'MAIN DATA, Orders'!$Q:$Q,$A50,'MAIN DATA, Orders'!$C:$C,"Germany")/1000000000)</f>
        <v>0</v>
      </c>
    </row>
    <row r="51" spans="1:3">
      <c r="A51" s="72">
        <v>45</v>
      </c>
      <c r="B51" s="68">
        <v>45170</v>
      </c>
      <c r="C51" s="61">
        <f>(SUMIFS('MAIN DATA, Orders'!$M:$M,'MAIN DATA, Orders'!$Q:$Q,$A51,'MAIN DATA, Orders'!$C:$C,"Germany")/1000000000)</f>
        <v>0.43630000000000002</v>
      </c>
    </row>
    <row r="52" spans="1:3">
      <c r="A52" s="72">
        <v>46</v>
      </c>
      <c r="B52" s="68">
        <v>45200</v>
      </c>
      <c r="C52" s="61">
        <f>(SUMIFS('MAIN DATA, Orders'!$M:$M,'MAIN DATA, Orders'!$Q:$Q,$A52,'MAIN DATA, Orders'!$C:$C,"Germany")/1000000000)</f>
        <v>4.4124999999999996</v>
      </c>
    </row>
    <row r="53" spans="1:3">
      <c r="A53" s="72">
        <v>47</v>
      </c>
      <c r="B53" s="68">
        <v>45231</v>
      </c>
      <c r="C53" s="61">
        <f>(SUMIFS('MAIN DATA, Orders'!$M:$M,'MAIN DATA, Orders'!$Q:$Q,$A53,'MAIN DATA, Orders'!$C:$C,"Germany")/1000000000)</f>
        <v>14.9503</v>
      </c>
    </row>
    <row r="54" spans="1:3">
      <c r="A54" s="72">
        <v>48</v>
      </c>
      <c r="B54" s="68">
        <v>45261</v>
      </c>
      <c r="C54" s="61">
        <f>(SUMIFS('MAIN DATA, Orders'!$M:$M,'MAIN DATA, Orders'!$Q:$Q,$A54,'MAIN DATA, Orders'!$C:$C,"Germany")/1000000000)</f>
        <v>6.2514799999999999</v>
      </c>
    </row>
    <row r="55" spans="1:3">
      <c r="A55" s="72">
        <v>49</v>
      </c>
      <c r="B55" s="68">
        <v>45292</v>
      </c>
      <c r="C55" s="61">
        <f>(SUMIFS('MAIN DATA, Orders'!$M:$M,'MAIN DATA, Orders'!$Q:$Q,$A55,'MAIN DATA, Orders'!$C:$C,"Germany")/1000000000)</f>
        <v>1.23</v>
      </c>
    </row>
    <row r="56" spans="1:3">
      <c r="A56" s="72">
        <v>50</v>
      </c>
      <c r="B56" s="68">
        <v>45323</v>
      </c>
      <c r="C56" s="61">
        <f>(SUMIFS('MAIN DATA, Orders'!$M:$M,'MAIN DATA, Orders'!$Q:$Q,$A56,'MAIN DATA, Orders'!$C:$C,"Germany")/1000000000)</f>
        <v>2.8490000000000002</v>
      </c>
    </row>
    <row r="57" spans="1:3">
      <c r="A57" s="72">
        <v>51</v>
      </c>
      <c r="B57" s="68">
        <v>45352</v>
      </c>
      <c r="C57" s="61">
        <f>(SUMIFS('MAIN DATA, Orders'!$M:$M,'MAIN DATA, Orders'!$Q:$Q,$A57,'MAIN DATA, Orders'!$C:$C,"Germany")/1000000000)</f>
        <v>4.4318999999999997</v>
      </c>
    </row>
    <row r="58" spans="1:3">
      <c r="A58" s="72">
        <v>52</v>
      </c>
      <c r="B58" s="68">
        <v>45383</v>
      </c>
      <c r="C58" s="61">
        <f>(SUMIFS('MAIN DATA, Orders'!$M:$M,'MAIN DATA, Orders'!$Q:$Q,$A58,'MAIN DATA, Orders'!$C:$C,"Germany")/1000000000)</f>
        <v>0.58699999999999997</v>
      </c>
    </row>
    <row r="59" spans="1:3">
      <c r="A59" s="72">
        <v>53</v>
      </c>
      <c r="B59" s="68">
        <v>45413</v>
      </c>
      <c r="C59" s="61">
        <f>(SUMIFS('MAIN DATA, Orders'!$M:$M,'MAIN DATA, Orders'!$Q:$Q,$A59,'MAIN DATA, Orders'!$C:$C,"Germany")/1000000000)</f>
        <v>1.8489599999999999</v>
      </c>
    </row>
    <row r="60" spans="1:3">
      <c r="A60" s="72">
        <v>54</v>
      </c>
      <c r="B60" s="68">
        <v>45444</v>
      </c>
      <c r="C60" s="61">
        <f>(SUMIFS('MAIN DATA, Orders'!$M:$M,'MAIN DATA, Orders'!$Q:$Q,$A60,'MAIN DATA, Orders'!$C:$C,"Germany")/1000000000)</f>
        <v>9.4770000000000003</v>
      </c>
    </row>
    <row r="61" spans="1:3">
      <c r="A61" s="72">
        <v>55</v>
      </c>
      <c r="B61" s="155">
        <v>45474</v>
      </c>
      <c r="C61" s="159">
        <f>(SUMIFS('MAIN DATA, Orders'!$M:$M,'MAIN DATA, Orders'!$Q:$Q,$A61,'MAIN DATA, Orders'!$C:$C,"Germany")/1000000000)</f>
        <v>6.319</v>
      </c>
    </row>
    <row r="62" spans="1:3">
      <c r="A62" s="199"/>
      <c r="B62" s="199"/>
      <c r="C62" s="199"/>
    </row>
    <row r="63" spans="1:3">
      <c r="A63" s="199"/>
      <c r="B63" s="19" t="s">
        <v>1431</v>
      </c>
      <c r="C63" s="69">
        <f>SUM(C7:C61)</f>
        <v>137.643068</v>
      </c>
    </row>
  </sheetData>
  <mergeCells count="1">
    <mergeCell ref="B4:J4"/>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42</vt:i4>
      </vt:variant>
    </vt:vector>
  </HeadingPairs>
  <TitlesOfParts>
    <vt:vector size="42" baseType="lpstr">
      <vt:lpstr>ReadMe</vt:lpstr>
      <vt:lpstr>MAIN DATA, Orders</vt:lpstr>
      <vt:lpstr>Amm. Framework Agreements</vt:lpstr>
      <vt:lpstr>Unit Costs</vt:lpstr>
      <vt:lpstr>General Item Type by Month</vt:lpstr>
      <vt:lpstr>Item Classification</vt:lpstr>
      <vt:lpstr>List of Classifications</vt:lpstr>
      <vt:lpstr>Table 1.1 Replenishment</vt:lpstr>
      <vt:lpstr>Fig 5.1 Total Orders</vt:lpstr>
      <vt:lpstr>Fig 5.2 Orders by Category</vt:lpstr>
      <vt:lpstr>Fig 5.3 Orders by Origin</vt:lpstr>
      <vt:lpstr>Fig 5.3a Orders by Origin (%)</vt:lpstr>
      <vt:lpstr>Fig 5.4 Orders for Land Forces</vt:lpstr>
      <vt:lpstr>Fig 5.5 Order Priorities</vt:lpstr>
      <vt:lpstr>Fig 5.6 Orders and Ukraine</vt:lpstr>
      <vt:lpstr>Fig 6.2 Orders by Fund</vt:lpstr>
      <vt:lpstr>Fig 6.3 Orders by Fund Overview</vt:lpstr>
      <vt:lpstr>Fig 7.1 Years to Delivery</vt:lpstr>
      <vt:lpstr>Fig 7.2 No Delivery Date</vt:lpstr>
      <vt:lpstr>Fig 7.3 Ammunition Unit Costs</vt:lpstr>
      <vt:lpstr>Fig A5.1 Contract Extensions</vt:lpstr>
      <vt:lpstr>Fig A5.2 Ammunition (€)</vt:lpstr>
      <vt:lpstr>Fig A5.3 Ammunition (units)</vt:lpstr>
      <vt:lpstr>Fig A5.4 Howitzer (€)</vt:lpstr>
      <vt:lpstr>Fig A5.5 Howitzer (units)</vt:lpstr>
      <vt:lpstr>Fig A5.6 MBT Tank (€)</vt:lpstr>
      <vt:lpstr>Fig A5.7 MBT Tank (units)</vt:lpstr>
      <vt:lpstr>Fig A5.8 Missile (€)</vt:lpstr>
      <vt:lpstr>Fig A5.9 Missile (units)</vt:lpstr>
      <vt:lpstr>Fig A5.10 Missile Category (€)</vt:lpstr>
      <vt:lpstr>Fig A5.11 Air Defence (€)</vt:lpstr>
      <vt:lpstr>Fig A5.12 Air Defence (units)</vt:lpstr>
      <vt:lpstr>Fig A5.13 Armoured vehicle (€)</vt:lpstr>
      <vt:lpstr>Fig A5.14 Arm. vehicle (units)</vt:lpstr>
      <vt:lpstr>Fig A5.15 Aircraft (€)</vt:lpstr>
      <vt:lpstr>Fig A5.16 Fighter Jet (units)</vt:lpstr>
      <vt:lpstr>Fig A5.17 Aircraft Develop. (€)</vt:lpstr>
      <vt:lpstr>Fig A6.1 Land Forces by Fund</vt:lpstr>
      <vt:lpstr>Fig A6.2 Land by Fund Overview</vt:lpstr>
      <vt:lpstr>Table A7.1 Ammunition Orders</vt:lpstr>
      <vt:lpstr>Table A7.2 Amm. Frame. (Basic)</vt:lpstr>
      <vt:lpstr>Table A7.3 Amm. Frame. (Ext)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Katelyn</dc:creator>
  <cp:keywords/>
  <dc:description/>
  <cp:lastModifiedBy>Kharitonov, Ivan</cp:lastModifiedBy>
  <cp:revision/>
  <dcterms:created xsi:type="dcterms:W3CDTF">2024-03-28T15:27:13Z</dcterms:created>
  <dcterms:modified xsi:type="dcterms:W3CDTF">2024-09-05T08:20:11Z</dcterms:modified>
  <cp:category/>
  <cp:contentStatus/>
</cp:coreProperties>
</file>