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915" windowHeight="699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67" i="1" l="1"/>
  <c r="C72" i="1" s="1"/>
  <c r="C21" i="1" l="1"/>
  <c r="C20" i="1"/>
  <c r="C12" i="1"/>
  <c r="C13" i="1" l="1"/>
  <c r="C23" i="1" s="1"/>
  <c r="C54" i="1"/>
  <c r="C22" i="1" l="1"/>
  <c r="C25" i="1" s="1"/>
  <c r="I66" i="1"/>
  <c r="I83" i="1"/>
  <c r="I84" i="1"/>
  <c r="I85" i="1"/>
  <c r="I86" i="1"/>
  <c r="F83" i="1"/>
  <c r="F84" i="1"/>
  <c r="F85" i="1"/>
  <c r="F86" i="1"/>
  <c r="F67" i="1" l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66" i="1"/>
  <c r="C82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C81" i="1"/>
  <c r="C80" i="1"/>
  <c r="C44" i="1"/>
  <c r="C52" i="1"/>
  <c r="C53" i="1"/>
  <c r="J7" i="1" l="1"/>
  <c r="J27" i="1"/>
  <c r="J26" i="1"/>
  <c r="J25" i="1"/>
  <c r="J22" i="1"/>
  <c r="J19" i="1"/>
  <c r="J15" i="1"/>
  <c r="J12" i="1"/>
  <c r="J8" i="1"/>
  <c r="J18" i="1"/>
  <c r="J14" i="1"/>
  <c r="J11" i="1"/>
  <c r="J23" i="1"/>
  <c r="J21" i="1"/>
  <c r="J17" i="1"/>
  <c r="J13" i="1"/>
  <c r="J10" i="1"/>
  <c r="J20" i="1"/>
  <c r="J16" i="1"/>
  <c r="J9" i="1"/>
  <c r="J24" i="1"/>
  <c r="G82" i="1"/>
  <c r="H69" i="1"/>
  <c r="G71" i="1"/>
  <c r="H81" i="1"/>
  <c r="G78" i="1"/>
  <c r="G67" i="1"/>
  <c r="H76" i="1"/>
  <c r="H67" i="1"/>
  <c r="C45" i="1"/>
  <c r="G81" i="1"/>
  <c r="G77" i="1"/>
  <c r="G73" i="1"/>
  <c r="G69" i="1"/>
  <c r="H66" i="1"/>
  <c r="H79" i="1"/>
  <c r="H75" i="1"/>
  <c r="H71" i="1"/>
  <c r="G75" i="1"/>
  <c r="G66" i="1"/>
  <c r="H73" i="1"/>
  <c r="H68" i="1"/>
  <c r="J41" i="1"/>
  <c r="J49" i="1"/>
  <c r="C56" i="1"/>
  <c r="J42" i="1"/>
  <c r="J46" i="1"/>
  <c r="J50" i="1"/>
  <c r="J54" i="1"/>
  <c r="J58" i="1"/>
  <c r="C55" i="1"/>
  <c r="J43" i="1"/>
  <c r="J47" i="1"/>
  <c r="J51" i="1"/>
  <c r="J55" i="1"/>
  <c r="J39" i="1"/>
  <c r="J44" i="1"/>
  <c r="J52" i="1"/>
  <c r="J56" i="1"/>
  <c r="J45" i="1"/>
  <c r="J53" i="1"/>
  <c r="J40" i="1"/>
  <c r="J48" i="1"/>
  <c r="J57" i="1"/>
  <c r="G74" i="1"/>
  <c r="G70" i="1"/>
  <c r="H80" i="1"/>
  <c r="H72" i="1"/>
  <c r="J69" i="1"/>
  <c r="J73" i="1"/>
  <c r="J77" i="1"/>
  <c r="J81" i="1"/>
  <c r="J85" i="1"/>
  <c r="J66" i="1"/>
  <c r="J70" i="1"/>
  <c r="J74" i="1"/>
  <c r="J78" i="1"/>
  <c r="J82" i="1"/>
  <c r="J86" i="1"/>
  <c r="J67" i="1"/>
  <c r="J71" i="1"/>
  <c r="J75" i="1"/>
  <c r="J79" i="1"/>
  <c r="J83" i="1"/>
  <c r="J68" i="1"/>
  <c r="J72" i="1"/>
  <c r="J76" i="1"/>
  <c r="J80" i="1"/>
  <c r="J84" i="1"/>
  <c r="G84" i="1"/>
  <c r="G83" i="1"/>
  <c r="H84" i="1"/>
  <c r="H83" i="1"/>
  <c r="G86" i="1"/>
  <c r="G85" i="1"/>
  <c r="H86" i="1"/>
  <c r="H85" i="1"/>
  <c r="G80" i="1"/>
  <c r="G76" i="1"/>
  <c r="K76" i="1" s="1"/>
  <c r="G72" i="1"/>
  <c r="K72" i="1" s="1"/>
  <c r="G68" i="1"/>
  <c r="H82" i="1"/>
  <c r="H78" i="1"/>
  <c r="H74" i="1"/>
  <c r="H70" i="1"/>
  <c r="K82" i="1"/>
  <c r="G79" i="1"/>
  <c r="H77" i="1"/>
  <c r="C70" i="1"/>
  <c r="C83" i="1" s="1"/>
  <c r="H43" i="1"/>
  <c r="G57" i="1"/>
  <c r="G53" i="1"/>
  <c r="G49" i="1"/>
  <c r="G45" i="1"/>
  <c r="G41" i="1"/>
  <c r="H58" i="1"/>
  <c r="H54" i="1"/>
  <c r="H50" i="1"/>
  <c r="H46" i="1"/>
  <c r="H42" i="1"/>
  <c r="G56" i="1"/>
  <c r="G52" i="1"/>
  <c r="G48" i="1"/>
  <c r="G44" i="1"/>
  <c r="G40" i="1"/>
  <c r="H57" i="1"/>
  <c r="H53" i="1"/>
  <c r="H49" i="1"/>
  <c r="H45" i="1"/>
  <c r="H41" i="1"/>
  <c r="G39" i="1"/>
  <c r="G55" i="1"/>
  <c r="G51" i="1"/>
  <c r="G47" i="1"/>
  <c r="G43" i="1"/>
  <c r="H56" i="1"/>
  <c r="H52" i="1"/>
  <c r="H48" i="1"/>
  <c r="H44" i="1"/>
  <c r="H40" i="1"/>
  <c r="G58" i="1"/>
  <c r="G54" i="1"/>
  <c r="G50" i="1"/>
  <c r="G46" i="1"/>
  <c r="G42" i="1"/>
  <c r="H39" i="1"/>
  <c r="H55" i="1"/>
  <c r="H51" i="1"/>
  <c r="H47" i="1"/>
  <c r="K74" i="1" l="1"/>
  <c r="K54" i="1"/>
  <c r="H9" i="1"/>
  <c r="G9" i="1"/>
  <c r="H13" i="1"/>
  <c r="G13" i="1"/>
  <c r="H11" i="1"/>
  <c r="G11" i="1"/>
  <c r="H12" i="1"/>
  <c r="G12" i="1"/>
  <c r="H25" i="1"/>
  <c r="G25" i="1"/>
  <c r="H16" i="1"/>
  <c r="G16" i="1"/>
  <c r="G17" i="1"/>
  <c r="H17" i="1"/>
  <c r="G14" i="1"/>
  <c r="H14" i="1"/>
  <c r="H15" i="1"/>
  <c r="G15" i="1"/>
  <c r="G26" i="1"/>
  <c r="H26" i="1"/>
  <c r="H20" i="1"/>
  <c r="G20" i="1"/>
  <c r="G21" i="1"/>
  <c r="H21" i="1"/>
  <c r="H18" i="1"/>
  <c r="G18" i="1"/>
  <c r="G19" i="1"/>
  <c r="H19" i="1"/>
  <c r="H27" i="1"/>
  <c r="G27" i="1"/>
  <c r="G24" i="1"/>
  <c r="H24" i="1"/>
  <c r="G10" i="1"/>
  <c r="H10" i="1"/>
  <c r="G23" i="1"/>
  <c r="H23" i="1"/>
  <c r="H8" i="1"/>
  <c r="G8" i="1"/>
  <c r="H22" i="1"/>
  <c r="G22" i="1"/>
  <c r="H7" i="1"/>
  <c r="G7" i="1"/>
  <c r="K70" i="1"/>
  <c r="K68" i="1"/>
  <c r="K42" i="1"/>
  <c r="K58" i="1"/>
  <c r="K47" i="1"/>
  <c r="K52" i="1"/>
  <c r="C58" i="1"/>
  <c r="K51" i="1"/>
  <c r="K40" i="1"/>
  <c r="K56" i="1"/>
  <c r="K49" i="1"/>
  <c r="K46" i="1"/>
  <c r="K80" i="1"/>
  <c r="K86" i="1"/>
  <c r="K75" i="1"/>
  <c r="K79" i="1"/>
  <c r="K71" i="1"/>
  <c r="K78" i="1"/>
  <c r="K69" i="1"/>
  <c r="K73" i="1"/>
  <c r="K77" i="1"/>
  <c r="K81" i="1"/>
  <c r="K67" i="1"/>
  <c r="K55" i="1"/>
  <c r="K44" i="1"/>
  <c r="K53" i="1"/>
  <c r="K50" i="1"/>
  <c r="K43" i="1"/>
  <c r="K39" i="1"/>
  <c r="K48" i="1"/>
  <c r="K41" i="1"/>
  <c r="K57" i="1"/>
  <c r="K85" i="1"/>
  <c r="K83" i="1"/>
  <c r="K45" i="1"/>
  <c r="K84" i="1"/>
  <c r="K66" i="1"/>
  <c r="C84" i="1"/>
  <c r="C71" i="1"/>
  <c r="K22" i="1" l="1"/>
  <c r="K16" i="1"/>
  <c r="K12" i="1"/>
  <c r="K13" i="1"/>
  <c r="K7" i="1"/>
  <c r="K8" i="1"/>
  <c r="K27" i="1"/>
  <c r="K18" i="1"/>
  <c r="K20" i="1"/>
  <c r="K15" i="1"/>
  <c r="K25" i="1"/>
  <c r="K11" i="1"/>
  <c r="K9" i="1"/>
  <c r="K23" i="1"/>
  <c r="K24" i="1"/>
  <c r="K19" i="1"/>
  <c r="K21" i="1"/>
  <c r="K26" i="1"/>
  <c r="K14" i="1"/>
  <c r="K10" i="1"/>
  <c r="K17" i="1"/>
  <c r="C86" i="1"/>
</calcChain>
</file>

<file path=xl/comments1.xml><?xml version="1.0" encoding="utf-8"?>
<comments xmlns="http://schemas.openxmlformats.org/spreadsheetml/2006/main">
  <authors>
    <author>Stamer, Vincent</author>
  </authors>
  <commentList>
    <comment ref="C25" authorId="0">
      <text>
        <r>
          <rPr>
            <b/>
            <sz val="9"/>
            <color indexed="81"/>
            <rFont val="Tahoma"/>
            <charset val="1"/>
          </rPr>
          <t>Stamer, Vincent:</t>
        </r>
        <r>
          <rPr>
            <sz val="9"/>
            <color indexed="81"/>
            <rFont val="Tahoma"/>
            <charset val="1"/>
          </rPr>
          <t xml:space="preserve">
Value in percentage points
</t>
        </r>
      </text>
    </comment>
    <comment ref="B77" authorId="0">
      <text>
        <r>
          <rPr>
            <b/>
            <sz val="9"/>
            <color indexed="81"/>
            <rFont val="Tahoma"/>
            <charset val="1"/>
          </rPr>
          <t>Stamer, Vincent:</t>
        </r>
        <r>
          <rPr>
            <sz val="9"/>
            <color indexed="81"/>
            <rFont val="Tahoma"/>
            <charset val="1"/>
          </rPr>
          <t xml:space="preserve">
What fraction of the prevalence should be used as desired standard deviation?
</t>
        </r>
      </text>
    </comment>
  </commentList>
</comments>
</file>

<file path=xl/sharedStrings.xml><?xml version="1.0" encoding="utf-8"?>
<sst xmlns="http://schemas.openxmlformats.org/spreadsheetml/2006/main" count="75" uniqueCount="40">
  <si>
    <t>Further Reading: https://www.researchgate.net/publication/45459002_Pratical_Issues_in_Calculating_the_Sample_Size_for_Prevalence_Studies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</si>
  <si>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For very low prevalence (below 10% of population), one must calculate the measurement  error by expected prevalence. An expected prevalence of 0.02% for Germany, for instance, implies roughly one infected per 5500. To achieve statistic significance, we need a sample size of a multiple of this number</t>
    </r>
  </si>
  <si>
    <t>Inputs</t>
  </si>
  <si>
    <t>Fehler 1</t>
  </si>
  <si>
    <t>Fehler 2</t>
  </si>
  <si>
    <t>Hilfszelle 1</t>
  </si>
  <si>
    <t>Hilfszelle 2</t>
  </si>
  <si>
    <t>Std. Abw. (Dezimalzahl)</t>
  </si>
  <si>
    <t>Deutschland</t>
  </si>
  <si>
    <t>HZ1</t>
  </si>
  <si>
    <t>HZ2</t>
  </si>
  <si>
    <t>Infektionen</t>
  </si>
  <si>
    <t>Observierte Infektionsrate</t>
  </si>
  <si>
    <t>Observierte rate</t>
  </si>
  <si>
    <t>Calculator 1: Standard deviation produced from given sample size</t>
  </si>
  <si>
    <t>Population</t>
  </si>
  <si>
    <t>Size of random sample</t>
  </si>
  <si>
    <t>Number of infections (expected)</t>
  </si>
  <si>
    <t>Rate of positive antibody tests</t>
  </si>
  <si>
    <t>Assumptions</t>
  </si>
  <si>
    <t>Specifity</t>
  </si>
  <si>
    <t>Sensitivity</t>
  </si>
  <si>
    <t>Calculations</t>
  </si>
  <si>
    <t>Std. Deviation (Pp.)</t>
  </si>
  <si>
    <t>Prevalence (expected)</t>
  </si>
  <si>
    <t>Expected Prevalence</t>
  </si>
  <si>
    <t>Calculators 2 and 3: Required sample size given desired std. deviation</t>
  </si>
  <si>
    <t>Calculator 2: Over 5% expected prevalence, approximating herd immunity</t>
  </si>
  <si>
    <t>Calculator 3: below 5% expected prevalence, identify rate with high precision</t>
  </si>
  <si>
    <t>Standard dev. (Percentage points):</t>
  </si>
  <si>
    <t>Derived values</t>
  </si>
  <si>
    <t>Precision factor</t>
  </si>
  <si>
    <t>Min. Required Sample Size</t>
  </si>
  <si>
    <t>Caclucations</t>
  </si>
  <si>
    <t>Std. dev. (decimal)</t>
  </si>
  <si>
    <t>Testing error 1</t>
  </si>
  <si>
    <t>Testing error 2</t>
  </si>
  <si>
    <t>Authors:Jens Boysen-Hogrefe, Vincent Stamer</t>
  </si>
  <si>
    <t>Standard deviation of estimate (Pp.)</t>
  </si>
  <si>
    <t>Required std. deviation (Pp.)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</si>
</sst>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%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rgb="FF3F3F76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5" borderId="11" applyNumberFormat="0" applyAlignment="0" applyProtection="0"/>
  </cellStyleXfs>
  <cellXfs count="56">
    <xf numFmtId="0" fontId="0" fillId="0" borderId="0" xfId="0"/>
    <xf numFmtId="0" fontId="0" fillId="0" borderId="3" xfId="0" applyBorder="1"/>
    <xf numFmtId="0" fontId="0" fillId="0" borderId="0" xfId="0" applyBorder="1"/>
    <xf numFmtId="0" fontId="0" fillId="2" borderId="0" xfId="0" applyFill="1" applyBorder="1"/>
    <xf numFmtId="164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165" fontId="0" fillId="0" borderId="4" xfId="1" applyNumberFormat="1" applyFont="1" applyBorder="1"/>
    <xf numFmtId="0" fontId="0" fillId="0" borderId="4" xfId="0" applyNumberFormat="1" applyBorder="1"/>
    <xf numFmtId="0" fontId="0" fillId="0" borderId="4" xfId="0" applyFont="1" applyFill="1" applyBorder="1"/>
    <xf numFmtId="2" fontId="0" fillId="0" borderId="4" xfId="0" applyNumberFormat="1" applyBorder="1"/>
    <xf numFmtId="165" fontId="0" fillId="0" borderId="7" xfId="1" applyNumberFormat="1" applyFont="1" applyBorder="1"/>
    <xf numFmtId="0" fontId="5" fillId="0" borderId="3" xfId="0" applyFont="1" applyBorder="1"/>
    <xf numFmtId="0" fontId="0" fillId="0" borderId="0" xfId="0" applyFill="1" applyBorder="1" applyAlignment="1">
      <alignment horizontal="center" vertical="top" wrapText="1"/>
    </xf>
    <xf numFmtId="0" fontId="6" fillId="0" borderId="0" xfId="0" applyFont="1" applyBorder="1"/>
    <xf numFmtId="0" fontId="7" fillId="0" borderId="0" xfId="0" applyFont="1" applyBorder="1"/>
    <xf numFmtId="0" fontId="3" fillId="0" borderId="8" xfId="0" applyFont="1" applyBorder="1" applyAlignment="1">
      <alignment horizontal="center"/>
    </xf>
    <xf numFmtId="165" fontId="0" fillId="0" borderId="2" xfId="1" applyNumberFormat="1" applyFont="1" applyBorder="1"/>
    <xf numFmtId="0" fontId="5" fillId="0" borderId="5" xfId="0" applyFont="1" applyBorder="1"/>
    <xf numFmtId="165" fontId="0" fillId="0" borderId="0" xfId="1" applyNumberFormat="1" applyFont="1" applyBorder="1"/>
    <xf numFmtId="0" fontId="0" fillId="0" borderId="2" xfId="0" applyFont="1" applyFill="1" applyBorder="1"/>
    <xf numFmtId="2" fontId="0" fillId="0" borderId="7" xfId="0" applyNumberFormat="1" applyBorder="1"/>
    <xf numFmtId="0" fontId="0" fillId="0" borderId="13" xfId="0" applyBorder="1"/>
    <xf numFmtId="166" fontId="0" fillId="3" borderId="12" xfId="0" applyNumberFormat="1" applyFill="1" applyBorder="1"/>
    <xf numFmtId="0" fontId="0" fillId="0" borderId="8" xfId="0" applyBorder="1"/>
    <xf numFmtId="0" fontId="3" fillId="0" borderId="8" xfId="0" applyFont="1" applyBorder="1" applyAlignment="1"/>
    <xf numFmtId="1" fontId="0" fillId="3" borderId="12" xfId="0" applyNumberFormat="1" applyFill="1" applyBorder="1"/>
    <xf numFmtId="0" fontId="0" fillId="2" borderId="8" xfId="0" applyFill="1" applyBorder="1"/>
    <xf numFmtId="0" fontId="0" fillId="2" borderId="14" xfId="0" applyFill="1" applyBorder="1"/>
    <xf numFmtId="0" fontId="8" fillId="2" borderId="8" xfId="2" applyFill="1" applyBorder="1" applyAlignment="1"/>
    <xf numFmtId="0" fontId="9" fillId="5" borderId="15" xfId="2" applyFont="1" applyBorder="1" applyAlignment="1">
      <alignment horizontal="center"/>
    </xf>
    <xf numFmtId="0" fontId="5" fillId="0" borderId="0" xfId="0" applyFont="1" applyBorder="1"/>
    <xf numFmtId="0" fontId="0" fillId="2" borderId="4" xfId="0" applyFont="1" applyFill="1" applyBorder="1"/>
    <xf numFmtId="0" fontId="0" fillId="2" borderId="7" xfId="0" applyFont="1" applyFill="1" applyBorder="1"/>
    <xf numFmtId="0" fontId="5" fillId="2" borderId="7" xfId="0" applyFont="1" applyFill="1" applyBorder="1"/>
    <xf numFmtId="0" fontId="2" fillId="6" borderId="0" xfId="0" applyFont="1" applyFill="1"/>
    <xf numFmtId="0" fontId="2" fillId="6" borderId="0" xfId="0" applyFont="1" applyFill="1" applyBorder="1"/>
    <xf numFmtId="10" fontId="0" fillId="6" borderId="0" xfId="1" applyNumberFormat="1" applyFont="1" applyFill="1"/>
    <xf numFmtId="1" fontId="0" fillId="6" borderId="0" xfId="0" applyNumberFormat="1" applyFill="1"/>
    <xf numFmtId="0" fontId="0" fillId="6" borderId="0" xfId="0" applyFill="1"/>
    <xf numFmtId="165" fontId="0" fillId="6" borderId="0" xfId="0" applyNumberFormat="1" applyFill="1"/>
    <xf numFmtId="0" fontId="2" fillId="6" borderId="0" xfId="0" applyFont="1" applyFill="1" applyAlignment="1">
      <alignment horizontal="center" wrapText="1"/>
    </xf>
    <xf numFmtId="9" fontId="0" fillId="6" borderId="0" xfId="1" applyFont="1" applyFill="1"/>
    <xf numFmtId="9" fontId="0" fillId="6" borderId="0" xfId="0" applyNumberFormat="1" applyFill="1"/>
    <xf numFmtId="0" fontId="0" fillId="7" borderId="2" xfId="0" applyFill="1" applyBorder="1"/>
    <xf numFmtId="0" fontId="0" fillId="7" borderId="4" xfId="0" applyFill="1" applyBorder="1"/>
    <xf numFmtId="0" fontId="0" fillId="7" borderId="7" xfId="0" applyFill="1" applyBorder="1"/>
    <xf numFmtId="0" fontId="0" fillId="2" borderId="2" xfId="0" applyFont="1" applyFill="1" applyBorder="1"/>
    <xf numFmtId="0" fontId="5" fillId="0" borderId="7" xfId="1" applyNumberFormat="1" applyFont="1" applyBorder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</cellXfs>
  <cellStyles count="3">
    <cellStyle name="Eingabe" xfId="2" builtinId="20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Required sample size given desired precision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Tabelle1!$K$38</c:f>
              <c:strCache>
                <c:ptCount val="1"/>
                <c:pt idx="0">
                  <c:v>Std. Deviation (Pp.)</c:v>
                </c:pt>
              </c:strCache>
            </c:strRef>
          </c:tx>
          <c:marker>
            <c:symbol val="none"/>
          </c:marker>
          <c:cat>
            <c:numRef>
              <c:f>Tabelle1!$E$39:$E$58</c:f>
              <c:numCache>
                <c:formatCode>0%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cat>
          <c:val>
            <c:numRef>
              <c:f>Tabelle1!$K$39:$K$58</c:f>
              <c:numCache>
                <c:formatCode>General</c:formatCode>
                <c:ptCount val="20"/>
                <c:pt idx="0">
                  <c:v>1222.5306122448985</c:v>
                </c:pt>
                <c:pt idx="1">
                  <c:v>1467.6734693877554</c:v>
                </c:pt>
                <c:pt idx="2">
                  <c:v>1704.8163265306127</c:v>
                </c:pt>
                <c:pt idx="3">
                  <c:v>1933.9591836734694</c:v>
                </c:pt>
                <c:pt idx="4">
                  <c:v>2155.1020408163263</c:v>
                </c:pt>
                <c:pt idx="5">
                  <c:v>2368.2448979591832</c:v>
                </c:pt>
                <c:pt idx="6">
                  <c:v>2573.3877551020405</c:v>
                </c:pt>
                <c:pt idx="7">
                  <c:v>2770.5306122448978</c:v>
                </c:pt>
                <c:pt idx="8">
                  <c:v>2959.6734693877547</c:v>
                </c:pt>
                <c:pt idx="9">
                  <c:v>3140.8163265306116</c:v>
                </c:pt>
                <c:pt idx="10">
                  <c:v>3313.9591836734694</c:v>
                </c:pt>
                <c:pt idx="11">
                  <c:v>3479.1020408163254</c:v>
                </c:pt>
                <c:pt idx="12">
                  <c:v>3636.2448979591832</c:v>
                </c:pt>
                <c:pt idx="13">
                  <c:v>3785.3877551020396</c:v>
                </c:pt>
                <c:pt idx="14">
                  <c:v>3926.5306122448983</c:v>
                </c:pt>
                <c:pt idx="15">
                  <c:v>4059.6734693877543</c:v>
                </c:pt>
                <c:pt idx="16">
                  <c:v>4184.8163265306111</c:v>
                </c:pt>
                <c:pt idx="17">
                  <c:v>4301.9591836734689</c:v>
                </c:pt>
                <c:pt idx="18">
                  <c:v>4411.1020408163249</c:v>
                </c:pt>
                <c:pt idx="19">
                  <c:v>4512.2448979591818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34656"/>
        <c:axId val="209337344"/>
      </c:lineChart>
      <c:catAx>
        <c:axId val="20933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600" b="1" i="0" baseline="0">
                    <a:effectLst/>
                  </a:rPr>
                  <a:t>Expected prevalence</a:t>
                </a:r>
                <a:endParaRPr lang="de-DE" sz="1600">
                  <a:effectLst/>
                </a:endParaRP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09337344"/>
        <c:crosses val="autoZero"/>
        <c:auto val="1"/>
        <c:lblAlgn val="ctr"/>
        <c:lblOffset val="100"/>
        <c:noMultiLvlLbl val="0"/>
      </c:catAx>
      <c:valAx>
        <c:axId val="209337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de-DE" sz="1600"/>
                  <a:t>Min.</a:t>
                </a:r>
                <a:r>
                  <a:rPr lang="de-DE" sz="1600" baseline="0"/>
                  <a:t> sample size required</a:t>
                </a:r>
                <a:endParaRPr lang="de-DE" sz="16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9334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Required sample size </a:t>
            </a:r>
            <a:r>
              <a:rPr lang="en-US"/>
              <a:t>given desired precision</a:t>
            </a:r>
            <a:endParaRPr lang="de-DE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Tabelle1!$K$38</c:f>
              <c:strCache>
                <c:ptCount val="1"/>
                <c:pt idx="0">
                  <c:v>Std. Deviation (Pp.)</c:v>
                </c:pt>
              </c:strCache>
            </c:strRef>
          </c:tx>
          <c:marker>
            <c:symbol val="none"/>
          </c:marker>
          <c:cat>
            <c:numRef>
              <c:f>Tabelle1!$E$66:$E$86</c:f>
              <c:numCache>
                <c:formatCode>0.00%</c:formatCode>
                <c:ptCount val="21"/>
                <c:pt idx="0">
                  <c:v>0.01</c:v>
                </c:pt>
                <c:pt idx="1">
                  <c:v>1.2E-2</c:v>
                </c:pt>
                <c:pt idx="2">
                  <c:v>1.4E-2</c:v>
                </c:pt>
                <c:pt idx="3">
                  <c:v>1.6E-2</c:v>
                </c:pt>
                <c:pt idx="4">
                  <c:v>1.7999999999999999E-2</c:v>
                </c:pt>
                <c:pt idx="5">
                  <c:v>0.02</c:v>
                </c:pt>
                <c:pt idx="6">
                  <c:v>2.1999999999999999E-2</c:v>
                </c:pt>
                <c:pt idx="7">
                  <c:v>2.4E-2</c:v>
                </c:pt>
                <c:pt idx="8">
                  <c:v>2.5999999999999999E-2</c:v>
                </c:pt>
                <c:pt idx="9">
                  <c:v>2.8000000000000001E-2</c:v>
                </c:pt>
                <c:pt idx="10">
                  <c:v>0.03</c:v>
                </c:pt>
                <c:pt idx="11">
                  <c:v>3.2000000000000001E-2</c:v>
                </c:pt>
                <c:pt idx="12">
                  <c:v>3.4000000000000002E-2</c:v>
                </c:pt>
                <c:pt idx="13">
                  <c:v>3.5999999999999997E-2</c:v>
                </c:pt>
                <c:pt idx="14">
                  <c:v>3.7999999999999999E-2</c:v>
                </c:pt>
                <c:pt idx="15">
                  <c:v>0.04</c:v>
                </c:pt>
                <c:pt idx="16">
                  <c:v>4.2000000000000003E-2</c:v>
                </c:pt>
                <c:pt idx="17">
                  <c:v>4.3999999999999997E-2</c:v>
                </c:pt>
                <c:pt idx="18">
                  <c:v>4.5999999999999999E-2</c:v>
                </c:pt>
                <c:pt idx="19">
                  <c:v>4.8000000000000001E-2</c:v>
                </c:pt>
                <c:pt idx="20">
                  <c:v>0.05</c:v>
                </c:pt>
              </c:numCache>
            </c:numRef>
          </c:cat>
          <c:val>
            <c:numRef>
              <c:f>Tabelle1!$K$66:$K$86</c:f>
              <c:numCache>
                <c:formatCode>General</c:formatCode>
                <c:ptCount val="21"/>
                <c:pt idx="0">
                  <c:v>25516.408163265321</c:v>
                </c:pt>
                <c:pt idx="1">
                  <c:v>17897.077097505677</c:v>
                </c:pt>
                <c:pt idx="2">
                  <c:v>13279.007080383177</c:v>
                </c:pt>
                <c:pt idx="3">
                  <c:v>10266.248724489802</c:v>
                </c:pt>
                <c:pt idx="4">
                  <c:v>8190.1295036533156</c:v>
                </c:pt>
                <c:pt idx="5">
                  <c:v>6697.530612244901</c:v>
                </c:pt>
                <c:pt idx="6">
                  <c:v>5587.5837409343931</c:v>
                </c:pt>
                <c:pt idx="7">
                  <c:v>4739.1264172335641</c:v>
                </c:pt>
                <c:pt idx="8">
                  <c:v>4075.5193817171853</c:v>
                </c:pt>
                <c:pt idx="9">
                  <c:v>3546.3436068304882</c:v>
                </c:pt>
                <c:pt idx="10">
                  <c:v>3117.3151927437661</c:v>
                </c:pt>
                <c:pt idx="11">
                  <c:v>2764.4550382653074</c:v>
                </c:pt>
                <c:pt idx="12">
                  <c:v>2470.5780665207267</c:v>
                </c:pt>
                <c:pt idx="13">
                  <c:v>2223.1038044847583</c:v>
                </c:pt>
                <c:pt idx="14">
                  <c:v>2012.6487647690667</c:v>
                </c:pt>
                <c:pt idx="15">
                  <c:v>1832.0969387755108</c:v>
                </c:pt>
                <c:pt idx="16">
                  <c:v>1675.9713082511921</c:v>
                </c:pt>
                <c:pt idx="17">
                  <c:v>1539.9998313374945</c:v>
                </c:pt>
                <c:pt idx="18">
                  <c:v>1420.8099996142132</c:v>
                </c:pt>
                <c:pt idx="19">
                  <c:v>1315.7101757369617</c:v>
                </c:pt>
                <c:pt idx="20">
                  <c:v>1222.5306122448985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303040"/>
        <c:axId val="249304960"/>
      </c:lineChart>
      <c:catAx>
        <c:axId val="24930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de-DE" sz="1600" b="1" i="0" baseline="0">
                    <a:effectLst/>
                  </a:rPr>
                  <a:t>Expected prevalence</a:t>
                </a:r>
                <a:endParaRPr lang="de-DE" sz="1600">
                  <a:effectLst/>
                </a:endParaRP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249304960"/>
        <c:crosses val="autoZero"/>
        <c:auto val="1"/>
        <c:lblAlgn val="ctr"/>
        <c:lblOffset val="100"/>
        <c:noMultiLvlLbl val="0"/>
      </c:catAx>
      <c:valAx>
        <c:axId val="249304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de-DE" sz="1600" b="1" i="0" baseline="0">
                    <a:effectLst/>
                  </a:rPr>
                  <a:t>Sample size required</a:t>
                </a:r>
                <a:endParaRPr lang="de-DE" sz="16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49303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Standard deviation</a:t>
            </a:r>
            <a:r>
              <a:rPr lang="en-US" sz="1800" baseline="0"/>
              <a:t> of estimator given a sample size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Tabelle1!$K$6</c:f>
              <c:strCache>
                <c:ptCount val="1"/>
                <c:pt idx="0">
                  <c:v>Std. Deviation (Pp.)</c:v>
                </c:pt>
              </c:strCache>
            </c:strRef>
          </c:tx>
          <c:marker>
            <c:symbol val="none"/>
          </c:marker>
          <c:cat>
            <c:numRef>
              <c:f>Tabelle1!$E$7:$E$27</c:f>
              <c:numCache>
                <c:formatCode>0%</c:formatCode>
                <c:ptCount val="21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Tabelle1!$K$7:$K$27</c:f>
              <c:numCache>
                <c:formatCode>General</c:formatCode>
                <c:ptCount val="21"/>
                <c:pt idx="0">
                  <c:v>1.1295222034839625</c:v>
                </c:pt>
                <c:pt idx="1">
                  <c:v>1.236189008730511</c:v>
                </c:pt>
                <c:pt idx="2">
                  <c:v>1.3544710542254841</c:v>
                </c:pt>
                <c:pt idx="3">
                  <c:v>1.4598014961505095</c:v>
                </c:pt>
                <c:pt idx="4">
                  <c:v>1.5548147734028761</c:v>
                </c:pt>
                <c:pt idx="5">
                  <c:v>1.6413036132965797</c:v>
                </c:pt>
                <c:pt idx="6">
                  <c:v>1.7205540161381101</c:v>
                </c:pt>
                <c:pt idx="7">
                  <c:v>1.7935257717349786</c:v>
                </c:pt>
                <c:pt idx="8">
                  <c:v>1.8609576205024452</c:v>
                </c:pt>
                <c:pt idx="9">
                  <c:v>1.9234323062522096</c:v>
                </c:pt>
                <c:pt idx="10">
                  <c:v>1.9814187866685995</c:v>
                </c:pt>
                <c:pt idx="11">
                  <c:v>2.0353007098686522</c:v>
                </c:pt>
                <c:pt idx="12">
                  <c:v>2.0853962575540432</c:v>
                </c:pt>
                <c:pt idx="13">
                  <c:v>2.1319723549917291</c:v>
                </c:pt>
                <c:pt idx="14">
                  <c:v>2.1752550870823288</c:v>
                </c:pt>
                <c:pt idx="15">
                  <c:v>2.2154374884672605</c:v>
                </c:pt>
                <c:pt idx="16">
                  <c:v>2.2526854722163705</c:v>
                </c:pt>
                <c:pt idx="17">
                  <c:v>2.2871424109930856</c:v>
                </c:pt>
                <c:pt idx="18">
                  <c:v>2.3189327242487732</c:v>
                </c:pt>
                <c:pt idx="19">
                  <c:v>2.3481647197376101</c:v>
                </c:pt>
                <c:pt idx="20">
                  <c:v>2.3749328669351852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317248"/>
        <c:axId val="249331712"/>
      </c:lineChart>
      <c:catAx>
        <c:axId val="24931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de-DE" sz="1400"/>
                  <a:t>Expected Prevalence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49331712"/>
        <c:crosses val="autoZero"/>
        <c:auto val="1"/>
        <c:lblAlgn val="ctr"/>
        <c:lblOffset val="100"/>
        <c:noMultiLvlLbl val="0"/>
      </c:catAx>
      <c:valAx>
        <c:axId val="249331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de-DE" sz="1400"/>
                  <a:t>Standard Deviaiton (Percentage Points)</a:t>
                </a:r>
              </a:p>
            </c:rich>
          </c:tx>
          <c:layout>
            <c:manualLayout>
              <c:xMode val="edge"/>
              <c:yMode val="edge"/>
              <c:x val="1.9667385029519466E-2"/>
              <c:y val="0.198837389497255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49317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616322</xdr:colOff>
      <xdr:row>37</xdr:row>
      <xdr:rowOff>38100</xdr:rowOff>
    </xdr:from>
    <xdr:to>
      <xdr:col>17</xdr:col>
      <xdr:colOff>33618</xdr:colOff>
      <xdr:row>60</xdr:row>
      <xdr:rowOff>85725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616324</xdr:colOff>
      <xdr:row>64</xdr:row>
      <xdr:rowOff>0</xdr:rowOff>
    </xdr:from>
    <xdr:to>
      <xdr:col>17</xdr:col>
      <xdr:colOff>57151</xdr:colOff>
      <xdr:row>87</xdr:row>
      <xdr:rowOff>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616322</xdr:colOff>
      <xdr:row>5</xdr:row>
      <xdr:rowOff>38100</xdr:rowOff>
    </xdr:from>
    <xdr:to>
      <xdr:col>17</xdr:col>
      <xdr:colOff>33618</xdr:colOff>
      <xdr:row>28</xdr:row>
      <xdr:rowOff>85725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4"/>
  <sheetViews>
    <sheetView showGridLines="0" tabSelected="1" zoomScale="85" zoomScaleNormal="85" workbookViewId="0">
      <pane ySplit="1" topLeftCell="A2" activePane="bottomLeft" state="frozen"/>
      <selection pane="bottomLeft" activeCell="C8" sqref="C8"/>
    </sheetView>
  </sheetViews>
  <sheetFormatPr baseColWidth="10" defaultRowHeight="15" x14ac:dyDescent="0.25"/>
  <cols>
    <col min="1" max="1" width="2.140625" customWidth="1"/>
    <col min="2" max="2" width="33.85546875" customWidth="1"/>
    <col min="3" max="3" width="14.140625" customWidth="1"/>
    <col min="4" max="4" width="9.7109375" customWidth="1"/>
    <col min="5" max="5" width="16.42578125" customWidth="1"/>
    <col min="6" max="6" width="14.140625" hidden="1" customWidth="1"/>
    <col min="7" max="10" width="11.42578125" hidden="1" customWidth="1"/>
    <col min="11" max="11" width="17" customWidth="1"/>
    <col min="13" max="13" width="11.42578125" customWidth="1"/>
    <col min="17" max="17" width="29.140625" customWidth="1"/>
    <col min="18" max="18" width="20.140625" customWidth="1"/>
  </cols>
  <sheetData>
    <row r="1" spans="1:17" ht="9.75" customHeight="1" x14ac:dyDescent="0.25">
      <c r="A1" s="2"/>
      <c r="B1" s="2"/>
      <c r="C1" s="2"/>
      <c r="D1" s="2"/>
      <c r="E1" s="2"/>
      <c r="F1" s="2"/>
    </row>
    <row r="2" spans="1:17" ht="24" thickBot="1" x14ac:dyDescent="0.4">
      <c r="A2" s="2"/>
      <c r="B2" s="26" t="s">
        <v>14</v>
      </c>
      <c r="C2" s="26"/>
      <c r="D2" s="26"/>
      <c r="E2" s="26"/>
      <c r="F2" s="17"/>
      <c r="G2" s="25"/>
      <c r="H2" s="25"/>
      <c r="I2" s="25"/>
      <c r="J2" s="25"/>
      <c r="K2" s="25"/>
      <c r="L2" s="25"/>
      <c r="M2" s="28"/>
      <c r="N2" s="30"/>
      <c r="O2" s="28"/>
      <c r="P2" s="29"/>
      <c r="Q2" s="31" t="s">
        <v>8</v>
      </c>
    </row>
    <row r="3" spans="1:17" ht="12" customHeight="1" thickTop="1" x14ac:dyDescent="0.25">
      <c r="A3" s="2"/>
      <c r="B3" s="2"/>
      <c r="C3" s="2"/>
      <c r="D3" s="2"/>
      <c r="E3" s="2"/>
      <c r="F3" s="2"/>
    </row>
    <row r="4" spans="1:17" ht="18.75" x14ac:dyDescent="0.3">
      <c r="A4" s="2"/>
      <c r="B4" s="15"/>
      <c r="C4" s="16"/>
      <c r="D4" s="16"/>
    </row>
    <row r="5" spans="1:17" ht="3.75" customHeight="1" x14ac:dyDescent="0.25">
      <c r="A5" s="2"/>
      <c r="B5" s="2"/>
      <c r="C5" s="2"/>
      <c r="D5" s="2"/>
    </row>
    <row r="6" spans="1:17" ht="14.25" customHeight="1" x14ac:dyDescent="0.25">
      <c r="A6" s="2"/>
      <c r="B6" s="50" t="s">
        <v>2</v>
      </c>
      <c r="C6" s="51"/>
      <c r="D6" s="2"/>
      <c r="E6" s="36" t="s">
        <v>25</v>
      </c>
      <c r="F6" s="36"/>
      <c r="G6" s="36" t="s">
        <v>9</v>
      </c>
      <c r="H6" s="36" t="s">
        <v>10</v>
      </c>
      <c r="I6" s="36"/>
      <c r="J6" s="42" t="s">
        <v>12</v>
      </c>
      <c r="K6" s="37" t="s">
        <v>23</v>
      </c>
    </row>
    <row r="7" spans="1:17" x14ac:dyDescent="0.25">
      <c r="A7" s="2"/>
      <c r="B7" s="7" t="s">
        <v>15</v>
      </c>
      <c r="C7" s="45">
        <v>82790000</v>
      </c>
      <c r="D7" s="2"/>
      <c r="E7" s="44">
        <v>0.01</v>
      </c>
      <c r="F7" s="40"/>
      <c r="G7" s="40">
        <f>((1-$C$20-$C$21)/(E7*(1-$C$21)+(1-E7)*$C$20))^2*(J7*$C$9)</f>
        <v>7424.2424242424204</v>
      </c>
      <c r="H7" s="40">
        <f>((-1+$C$20+$C$21)/(E7*$C$21+(1-E7)*(1-$C$20)))^2*(1-J7)*$C$9</f>
        <v>413.8513513513513</v>
      </c>
      <c r="I7" s="40"/>
      <c r="J7" s="41">
        <f t="shared" ref="J7:J27" si="0">E7*(1-$C$52-$C$53)+$C$52</f>
        <v>5.2800000000000041E-2</v>
      </c>
      <c r="K7" s="40">
        <f>SQRT(1/(G7+H7))*100</f>
        <v>1.1295222034839625</v>
      </c>
    </row>
    <row r="8" spans="1:17" x14ac:dyDescent="0.25">
      <c r="A8" s="2"/>
      <c r="B8" s="1" t="s">
        <v>17</v>
      </c>
      <c r="C8" s="46">
        <v>1000</v>
      </c>
      <c r="D8" s="2"/>
      <c r="E8" s="43">
        <v>0.05</v>
      </c>
      <c r="F8" s="40"/>
      <c r="G8" s="40">
        <f t="shared" ref="G8:G27" si="1">((1-$C$20-$C$21)/(E8*(1-$C$21)+(1-E8)*$C$20))^2*(J8*$C$9)</f>
        <v>6124.9999999999964</v>
      </c>
      <c r="H8" s="40">
        <f t="shared" ref="H8:H27" si="2">((-1+$C$20+$C$21)/(E8*$C$21+(1-E8)*(1-$C$20)))^2*(1-J8)*$C$9</f>
        <v>418.80341880341894</v>
      </c>
      <c r="I8" s="40"/>
      <c r="J8" s="41">
        <f t="shared" si="0"/>
        <v>6.4000000000000043E-2</v>
      </c>
      <c r="K8" s="40">
        <f t="shared" ref="K8:K27" si="3">SQRT(1/(G8+H8))*100</f>
        <v>1.236189008730511</v>
      </c>
    </row>
    <row r="9" spans="1:17" x14ac:dyDescent="0.25">
      <c r="A9" s="2"/>
      <c r="B9" s="5" t="s">
        <v>16</v>
      </c>
      <c r="C9" s="47">
        <v>5000</v>
      </c>
      <c r="D9" s="2"/>
      <c r="E9" s="43">
        <v>0.1</v>
      </c>
      <c r="F9" s="40"/>
      <c r="G9" s="40">
        <f t="shared" si="1"/>
        <v>5025.6410256410236</v>
      </c>
      <c r="H9" s="40">
        <f t="shared" si="2"/>
        <v>425.1626898047723</v>
      </c>
      <c r="I9" s="40"/>
      <c r="J9" s="41">
        <f t="shared" si="0"/>
        <v>7.8000000000000042E-2</v>
      </c>
      <c r="K9" s="40">
        <f t="shared" si="3"/>
        <v>1.3544710542254841</v>
      </c>
    </row>
    <row r="10" spans="1:17" x14ac:dyDescent="0.25">
      <c r="A10" s="2"/>
      <c r="D10" s="2"/>
      <c r="E10" s="43">
        <v>0.15</v>
      </c>
      <c r="F10" s="40"/>
      <c r="G10" s="40">
        <f t="shared" si="1"/>
        <v>4260.8695652173892</v>
      </c>
      <c r="H10" s="40">
        <f t="shared" si="2"/>
        <v>431.71806167400877</v>
      </c>
      <c r="I10" s="40"/>
      <c r="J10" s="41">
        <f t="shared" si="0"/>
        <v>9.2000000000000054E-2</v>
      </c>
      <c r="K10" s="40">
        <f t="shared" si="3"/>
        <v>1.4598014961505095</v>
      </c>
    </row>
    <row r="11" spans="1:17" x14ac:dyDescent="0.25">
      <c r="A11" s="2"/>
      <c r="B11" s="50" t="s">
        <v>30</v>
      </c>
      <c r="C11" s="51"/>
      <c r="D11" s="3"/>
      <c r="E11" s="43">
        <v>0.2</v>
      </c>
      <c r="F11" s="40"/>
      <c r="G11" s="40">
        <f t="shared" si="1"/>
        <v>3698.1132075471687</v>
      </c>
      <c r="H11" s="40">
        <f t="shared" si="2"/>
        <v>438.47874720357936</v>
      </c>
      <c r="I11" s="40"/>
      <c r="J11" s="41">
        <f t="shared" si="0"/>
        <v>0.10600000000000005</v>
      </c>
      <c r="K11" s="40">
        <f t="shared" si="3"/>
        <v>1.5548147734028761</v>
      </c>
    </row>
    <row r="12" spans="1:17" x14ac:dyDescent="0.25">
      <c r="A12" s="2"/>
      <c r="B12" s="7" t="s">
        <v>24</v>
      </c>
      <c r="C12" s="18">
        <f>C8/C7</f>
        <v>1.2078753472641623E-5</v>
      </c>
      <c r="D12" s="4"/>
      <c r="E12" s="43">
        <v>0.25</v>
      </c>
      <c r="F12" s="40"/>
      <c r="G12" s="40">
        <f t="shared" si="1"/>
        <v>3266.6666666666661</v>
      </c>
      <c r="H12" s="40">
        <f t="shared" si="2"/>
        <v>445.45454545454555</v>
      </c>
      <c r="I12" s="40"/>
      <c r="J12" s="41">
        <f t="shared" si="0"/>
        <v>0.12000000000000005</v>
      </c>
      <c r="K12" s="40">
        <f t="shared" si="3"/>
        <v>1.6413036132965797</v>
      </c>
    </row>
    <row r="13" spans="1:17" x14ac:dyDescent="0.25">
      <c r="A13" s="2"/>
      <c r="B13" s="19" t="s">
        <v>18</v>
      </c>
      <c r="C13" s="12">
        <f>C12*(1-C20-C21)+C20</f>
        <v>5.0003382050972385E-2</v>
      </c>
      <c r="D13" s="4"/>
      <c r="E13" s="43">
        <v>0.3</v>
      </c>
      <c r="F13" s="40"/>
      <c r="G13" s="40">
        <f t="shared" si="1"/>
        <v>2925.373134328358</v>
      </c>
      <c r="H13" s="40">
        <f t="shared" si="2"/>
        <v>452.65588914549659</v>
      </c>
      <c r="I13" s="40"/>
      <c r="J13" s="41">
        <f t="shared" si="0"/>
        <v>0.13400000000000006</v>
      </c>
      <c r="K13" s="40">
        <f t="shared" si="3"/>
        <v>1.7205540161381101</v>
      </c>
    </row>
    <row r="14" spans="1:17" x14ac:dyDescent="0.25">
      <c r="A14" s="2"/>
      <c r="B14" s="2"/>
      <c r="C14" s="20"/>
      <c r="D14" s="4"/>
      <c r="E14" s="43">
        <v>0.35</v>
      </c>
      <c r="F14" s="40"/>
      <c r="G14" s="40">
        <f t="shared" si="1"/>
        <v>2648.6486486486483</v>
      </c>
      <c r="H14" s="40">
        <f t="shared" si="2"/>
        <v>460.09389671361521</v>
      </c>
      <c r="I14" s="40"/>
      <c r="J14" s="41">
        <f t="shared" si="0"/>
        <v>0.14800000000000005</v>
      </c>
      <c r="K14" s="40">
        <f t="shared" si="3"/>
        <v>1.7935257717349786</v>
      </c>
    </row>
    <row r="15" spans="1:17" x14ac:dyDescent="0.25">
      <c r="A15" s="2"/>
      <c r="B15" s="50" t="s">
        <v>19</v>
      </c>
      <c r="C15" s="51"/>
      <c r="D15" s="4"/>
      <c r="E15" s="43">
        <v>0.4</v>
      </c>
      <c r="F15" s="40"/>
      <c r="G15" s="40">
        <f t="shared" si="1"/>
        <v>2419.7530864197524</v>
      </c>
      <c r="H15" s="40">
        <f t="shared" si="2"/>
        <v>467.78042959427239</v>
      </c>
      <c r="I15" s="40"/>
      <c r="J15" s="41">
        <f t="shared" si="0"/>
        <v>0.16200000000000006</v>
      </c>
      <c r="K15" s="40">
        <f t="shared" si="3"/>
        <v>1.8609576205024452</v>
      </c>
    </row>
    <row r="16" spans="1:17" x14ac:dyDescent="0.25">
      <c r="A16" s="2"/>
      <c r="B16" s="7" t="s">
        <v>20</v>
      </c>
      <c r="C16" s="48">
        <v>0.95</v>
      </c>
      <c r="D16" s="4"/>
      <c r="E16" s="43">
        <v>0.45</v>
      </c>
      <c r="F16" s="40"/>
      <c r="G16" s="40">
        <f t="shared" si="1"/>
        <v>2227.2727272727266</v>
      </c>
      <c r="H16" s="40">
        <f t="shared" si="2"/>
        <v>475.72815533980599</v>
      </c>
      <c r="I16" s="40"/>
      <c r="J16" s="41">
        <f t="shared" si="0"/>
        <v>0.17600000000000007</v>
      </c>
      <c r="K16" s="40">
        <f t="shared" si="3"/>
        <v>1.9234323062522096</v>
      </c>
    </row>
    <row r="17" spans="1:11" x14ac:dyDescent="0.25">
      <c r="A17" s="2"/>
      <c r="B17" s="5" t="s">
        <v>21</v>
      </c>
      <c r="C17" s="34">
        <v>0.33</v>
      </c>
      <c r="D17" s="2"/>
      <c r="E17" s="43">
        <v>0.5</v>
      </c>
      <c r="F17" s="40"/>
      <c r="G17" s="40">
        <f t="shared" si="1"/>
        <v>2063.1578947368421</v>
      </c>
      <c r="H17" s="40">
        <f t="shared" si="2"/>
        <v>483.95061728395069</v>
      </c>
      <c r="I17" s="40"/>
      <c r="J17" s="41">
        <f t="shared" si="0"/>
        <v>0.19000000000000006</v>
      </c>
      <c r="K17" s="40">
        <f t="shared" si="3"/>
        <v>1.9814187866685995</v>
      </c>
    </row>
    <row r="18" spans="1:11" ht="16.5" customHeight="1" x14ac:dyDescent="0.25">
      <c r="A18" s="2"/>
      <c r="B18" s="2"/>
      <c r="C18" s="2"/>
      <c r="D18" s="2"/>
      <c r="E18" s="43">
        <v>0.55000000000000004</v>
      </c>
      <c r="F18" s="40"/>
      <c r="G18" s="40">
        <f t="shared" si="1"/>
        <v>1921.5686274509796</v>
      </c>
      <c r="H18" s="40">
        <f t="shared" si="2"/>
        <v>492.46231155778912</v>
      </c>
      <c r="I18" s="40"/>
      <c r="J18" s="41">
        <f t="shared" si="0"/>
        <v>0.20400000000000007</v>
      </c>
      <c r="K18" s="40">
        <f t="shared" si="3"/>
        <v>2.0353007098686522</v>
      </c>
    </row>
    <row r="19" spans="1:11" ht="16.5" customHeight="1" x14ac:dyDescent="0.25">
      <c r="A19" s="2"/>
      <c r="B19" s="53" t="s">
        <v>22</v>
      </c>
      <c r="C19" s="54"/>
      <c r="D19" s="2"/>
      <c r="E19" s="43">
        <v>0.6</v>
      </c>
      <c r="F19" s="40"/>
      <c r="G19" s="40">
        <f t="shared" si="1"/>
        <v>1798.1651376146788</v>
      </c>
      <c r="H19" s="40">
        <f t="shared" si="2"/>
        <v>501.27877237851658</v>
      </c>
      <c r="I19" s="40"/>
      <c r="J19" s="41">
        <f t="shared" si="0"/>
        <v>0.21800000000000005</v>
      </c>
      <c r="K19" s="40">
        <f t="shared" si="3"/>
        <v>2.0853962575540432</v>
      </c>
    </row>
    <row r="20" spans="1:11" x14ac:dyDescent="0.25">
      <c r="A20" s="2"/>
      <c r="B20" s="7" t="s">
        <v>3</v>
      </c>
      <c r="C20" s="21">
        <f>1-C16</f>
        <v>5.0000000000000044E-2</v>
      </c>
      <c r="D20" s="2"/>
      <c r="E20" s="43">
        <v>0.65</v>
      </c>
      <c r="F20" s="40"/>
      <c r="G20" s="40">
        <f t="shared" si="1"/>
        <v>1689.6551724137928</v>
      </c>
      <c r="H20" s="40">
        <f t="shared" si="2"/>
        <v>510.4166666666668</v>
      </c>
      <c r="I20" s="40"/>
      <c r="J20" s="41">
        <f t="shared" si="0"/>
        <v>0.23200000000000007</v>
      </c>
      <c r="K20" s="40">
        <f t="shared" si="3"/>
        <v>2.1319723549917291</v>
      </c>
    </row>
    <row r="21" spans="1:11" x14ac:dyDescent="0.25">
      <c r="A21" s="2"/>
      <c r="B21" s="1" t="s">
        <v>4</v>
      </c>
      <c r="C21" s="10">
        <f>1-C17</f>
        <v>0.66999999999999993</v>
      </c>
      <c r="D21" s="2"/>
      <c r="E21" s="43">
        <v>0.7</v>
      </c>
      <c r="F21" s="40"/>
      <c r="G21" s="40">
        <f t="shared" si="1"/>
        <v>1593.4959349593498</v>
      </c>
      <c r="H21" s="40">
        <f t="shared" si="2"/>
        <v>519.89389920424424</v>
      </c>
      <c r="I21" s="40"/>
      <c r="J21" s="41">
        <f t="shared" si="0"/>
        <v>0.24600000000000005</v>
      </c>
      <c r="K21" s="40">
        <f t="shared" si="3"/>
        <v>2.1752550870823288</v>
      </c>
    </row>
    <row r="22" spans="1:11" x14ac:dyDescent="0.25">
      <c r="A22" s="2"/>
      <c r="B22" s="1" t="s">
        <v>5</v>
      </c>
      <c r="C22" s="11">
        <f>((1-C20-C21)/(C12*(1-C21)+(1-C12)*C20))^2*(C13*C9)</f>
        <v>7839.4697302755194</v>
      </c>
      <c r="D22" s="2"/>
      <c r="E22" s="43">
        <v>0.75</v>
      </c>
      <c r="F22" s="40"/>
      <c r="G22" s="40">
        <f t="shared" si="1"/>
        <v>1507.6923076923074</v>
      </c>
      <c r="H22" s="40">
        <f t="shared" si="2"/>
        <v>529.72972972972968</v>
      </c>
      <c r="I22" s="40"/>
      <c r="J22" s="41">
        <f t="shared" si="0"/>
        <v>0.26000000000000006</v>
      </c>
      <c r="K22" s="40">
        <f t="shared" si="3"/>
        <v>2.2154374884672605</v>
      </c>
    </row>
    <row r="23" spans="1:11" ht="16.5" customHeight="1" x14ac:dyDescent="0.25">
      <c r="A23" s="2"/>
      <c r="B23" s="5" t="s">
        <v>6</v>
      </c>
      <c r="C23" s="22">
        <f>((-1+C20+C21)/(C12*C21+(1-C12)*(1-C20)))^2*(1-C13)*C9</f>
        <v>412.63304794315894</v>
      </c>
      <c r="D23" s="2"/>
      <c r="E23" s="43">
        <v>0.8</v>
      </c>
      <c r="F23" s="40"/>
      <c r="G23" s="40">
        <f t="shared" si="1"/>
        <v>1430.6569343065694</v>
      </c>
      <c r="H23" s="40">
        <f t="shared" si="2"/>
        <v>539.94490358126745</v>
      </c>
      <c r="I23" s="40"/>
      <c r="J23" s="41">
        <f t="shared" si="0"/>
        <v>0.27400000000000008</v>
      </c>
      <c r="K23" s="40">
        <f t="shared" si="3"/>
        <v>2.2526854722163705</v>
      </c>
    </row>
    <row r="24" spans="1:11" ht="15.75" thickBot="1" x14ac:dyDescent="0.3">
      <c r="A24" s="2"/>
      <c r="B24" s="2"/>
      <c r="C24" s="2"/>
      <c r="D24" s="2"/>
      <c r="E24" s="43">
        <v>0.85</v>
      </c>
      <c r="F24" s="40"/>
      <c r="G24" s="40">
        <f t="shared" si="1"/>
        <v>1361.1111111111113</v>
      </c>
      <c r="H24" s="40">
        <f t="shared" si="2"/>
        <v>550.56179775280907</v>
      </c>
      <c r="I24" s="40"/>
      <c r="J24" s="41">
        <f t="shared" si="0"/>
        <v>0.28800000000000003</v>
      </c>
      <c r="K24" s="40">
        <f t="shared" si="3"/>
        <v>2.2871424109930856</v>
      </c>
    </row>
    <row r="25" spans="1:11" ht="15.75" thickBot="1" x14ac:dyDescent="0.3">
      <c r="A25" s="2"/>
      <c r="B25" s="23" t="s">
        <v>38</v>
      </c>
      <c r="C25" s="24">
        <f>SQRT(1/(C22+C23))*100</f>
        <v>1.1008234839043114</v>
      </c>
      <c r="D25" s="2"/>
      <c r="E25" s="43">
        <v>0.9</v>
      </c>
      <c r="F25" s="40"/>
      <c r="G25" s="40">
        <f t="shared" si="1"/>
        <v>1298.0132450331123</v>
      </c>
      <c r="H25" s="40">
        <f t="shared" si="2"/>
        <v>561.60458452722082</v>
      </c>
      <c r="I25" s="40"/>
      <c r="J25" s="41">
        <f t="shared" si="0"/>
        <v>0.3020000000000001</v>
      </c>
      <c r="K25" s="40">
        <f t="shared" si="3"/>
        <v>2.3189327242487732</v>
      </c>
    </row>
    <row r="26" spans="1:11" x14ac:dyDescent="0.25">
      <c r="A26" s="2"/>
      <c r="D26" s="2"/>
      <c r="E26" s="43">
        <v>0.95</v>
      </c>
      <c r="F26" s="40"/>
      <c r="G26" s="40">
        <f t="shared" si="1"/>
        <v>1240.506329113924</v>
      </c>
      <c r="H26" s="40">
        <f t="shared" si="2"/>
        <v>573.09941520467851</v>
      </c>
      <c r="I26" s="40"/>
      <c r="J26" s="41">
        <f t="shared" si="0"/>
        <v>0.31600000000000006</v>
      </c>
      <c r="K26" s="40">
        <f t="shared" si="3"/>
        <v>2.3481647197376101</v>
      </c>
    </row>
    <row r="27" spans="1:11" x14ac:dyDescent="0.25">
      <c r="A27" s="2"/>
      <c r="D27" s="2"/>
      <c r="E27" s="43">
        <v>1</v>
      </c>
      <c r="F27" s="40"/>
      <c r="G27" s="40">
        <f t="shared" si="1"/>
        <v>1187.878787878788</v>
      </c>
      <c r="H27" s="40">
        <f t="shared" si="2"/>
        <v>585.07462686567192</v>
      </c>
      <c r="I27" s="40"/>
      <c r="J27" s="41">
        <f t="shared" si="0"/>
        <v>0.33000000000000007</v>
      </c>
      <c r="K27" s="40">
        <f t="shared" si="3"/>
        <v>2.3749328669351852</v>
      </c>
    </row>
    <row r="28" spans="1:11" ht="16.5" customHeight="1" x14ac:dyDescent="0.25">
      <c r="A28" s="2"/>
      <c r="D28" s="2"/>
    </row>
    <row r="29" spans="1:11" x14ac:dyDescent="0.25">
      <c r="A29" s="2"/>
      <c r="D29" s="2"/>
    </row>
    <row r="31" spans="1:11" x14ac:dyDescent="0.25">
      <c r="A31" s="2"/>
    </row>
    <row r="34" spans="2:17" ht="24" thickBot="1" x14ac:dyDescent="0.4">
      <c r="B34" s="55" t="s">
        <v>26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</row>
    <row r="35" spans="2:17" ht="15.75" thickTop="1" x14ac:dyDescent="0.25">
      <c r="B35" s="2"/>
      <c r="C35" s="2"/>
      <c r="D35" s="2"/>
      <c r="E35" s="2"/>
      <c r="F35" s="2"/>
    </row>
    <row r="36" spans="2:17" ht="18.75" x14ac:dyDescent="0.3">
      <c r="B36" s="15" t="s">
        <v>27</v>
      </c>
      <c r="C36" s="16"/>
      <c r="D36" s="16"/>
    </row>
    <row r="37" spans="2:17" x14ac:dyDescent="0.25">
      <c r="B37" s="2"/>
      <c r="C37" s="2"/>
      <c r="D37" s="2"/>
    </row>
    <row r="38" spans="2:17" ht="15" customHeight="1" x14ac:dyDescent="0.25">
      <c r="B38" s="50" t="s">
        <v>2</v>
      </c>
      <c r="C38" s="51"/>
      <c r="D38" s="2"/>
      <c r="E38" s="36" t="s">
        <v>25</v>
      </c>
      <c r="F38" s="36"/>
      <c r="G38" s="36" t="s">
        <v>9</v>
      </c>
      <c r="H38" s="36" t="s">
        <v>10</v>
      </c>
      <c r="I38" s="36"/>
      <c r="J38" s="42" t="s">
        <v>12</v>
      </c>
      <c r="K38" s="37" t="s">
        <v>23</v>
      </c>
    </row>
    <row r="39" spans="2:17" x14ac:dyDescent="0.25">
      <c r="B39" s="7" t="s">
        <v>15</v>
      </c>
      <c r="C39" s="45">
        <v>82790000</v>
      </c>
      <c r="D39" s="2"/>
      <c r="E39" s="43">
        <v>0.05</v>
      </c>
      <c r="F39" s="40"/>
      <c r="G39" s="40">
        <f t="shared" ref="G39:G58" si="4">((1-$C$52-$C$53)/(E39*(1-$C$53)+(1-E39)*$C$52))^2</f>
        <v>19.140624999999975</v>
      </c>
      <c r="H39" s="40">
        <f t="shared" ref="H39:H58" si="5">((-1+$C$52+$C$53)/(E39*$C$53+(1-E39)*(1-$C$52)))^2</f>
        <v>8.9487910000730544E-2</v>
      </c>
      <c r="I39" s="40"/>
      <c r="J39" s="41">
        <f t="shared" ref="J39:J58" si="6">E39*(1-$C$52-$C$53)+$C$52</f>
        <v>6.4000000000000043E-2</v>
      </c>
      <c r="K39" s="40">
        <f t="shared" ref="K39:K58" si="7">1/((G39*J39+(1-J39)*H39)*($C$54^2))</f>
        <v>1222.5306122448985</v>
      </c>
    </row>
    <row r="40" spans="2:17" x14ac:dyDescent="0.25">
      <c r="B40" s="1" t="s">
        <v>17</v>
      </c>
      <c r="C40" s="46">
        <v>4139500</v>
      </c>
      <c r="D40" s="2"/>
      <c r="E40" s="43">
        <v>0.1</v>
      </c>
      <c r="F40" s="40"/>
      <c r="G40" s="40">
        <f t="shared" si="4"/>
        <v>12.886259040105182</v>
      </c>
      <c r="H40" s="40">
        <f t="shared" si="5"/>
        <v>9.2226180001035218E-2</v>
      </c>
      <c r="I40" s="40"/>
      <c r="J40" s="41">
        <f t="shared" si="6"/>
        <v>7.8000000000000042E-2</v>
      </c>
      <c r="K40" s="40">
        <f t="shared" si="7"/>
        <v>1467.6734693877554</v>
      </c>
    </row>
    <row r="41" spans="2:17" x14ac:dyDescent="0.25">
      <c r="B41" s="5" t="s">
        <v>29</v>
      </c>
      <c r="C41" s="47">
        <v>2.5</v>
      </c>
      <c r="D41" s="2"/>
      <c r="E41" s="43">
        <v>0.15</v>
      </c>
      <c r="F41" s="40"/>
      <c r="G41" s="40">
        <f t="shared" si="4"/>
        <v>9.2627599243856231</v>
      </c>
      <c r="H41" s="40">
        <f t="shared" si="5"/>
        <v>9.5092084069164945E-2</v>
      </c>
      <c r="I41" s="40"/>
      <c r="J41" s="41">
        <f t="shared" si="6"/>
        <v>9.2000000000000054E-2</v>
      </c>
      <c r="K41" s="40">
        <f t="shared" si="7"/>
        <v>1704.8163265306127</v>
      </c>
    </row>
    <row r="42" spans="2:17" x14ac:dyDescent="0.25">
      <c r="B42" s="2"/>
      <c r="C42" s="3"/>
      <c r="D42" s="2"/>
      <c r="E42" s="43">
        <v>0.2</v>
      </c>
      <c r="F42" s="40"/>
      <c r="G42" s="40">
        <f t="shared" si="4"/>
        <v>6.9775720897116358</v>
      </c>
      <c r="H42" s="40">
        <f t="shared" si="5"/>
        <v>9.8093679463888014E-2</v>
      </c>
      <c r="I42" s="40"/>
      <c r="J42" s="41">
        <f t="shared" si="6"/>
        <v>0.10600000000000005</v>
      </c>
      <c r="K42" s="40">
        <f t="shared" si="7"/>
        <v>1933.9591836734694</v>
      </c>
    </row>
    <row r="43" spans="2:17" x14ac:dyDescent="0.25">
      <c r="B43" s="53" t="s">
        <v>30</v>
      </c>
      <c r="C43" s="54"/>
      <c r="D43" s="3"/>
      <c r="E43" s="43">
        <v>0.25</v>
      </c>
      <c r="F43" s="40"/>
      <c r="G43" s="40">
        <f t="shared" si="4"/>
        <v>5.4444444444444411</v>
      </c>
      <c r="H43" s="40">
        <f t="shared" si="5"/>
        <v>0.10123966942148764</v>
      </c>
      <c r="I43" s="40"/>
      <c r="J43" s="41">
        <f t="shared" si="6"/>
        <v>0.12000000000000005</v>
      </c>
      <c r="K43" s="40">
        <f t="shared" si="7"/>
        <v>2155.1020408163263</v>
      </c>
    </row>
    <row r="44" spans="2:17" x14ac:dyDescent="0.25">
      <c r="B44" s="7" t="s">
        <v>24</v>
      </c>
      <c r="C44" s="18">
        <f>C40/C39</f>
        <v>0.05</v>
      </c>
      <c r="D44" s="4"/>
      <c r="E44" s="43">
        <v>0.3</v>
      </c>
      <c r="F44" s="40"/>
      <c r="G44" s="40">
        <f t="shared" si="4"/>
        <v>4.3662285586990395</v>
      </c>
      <c r="H44" s="40">
        <f t="shared" si="5"/>
        <v>0.1045394663153572</v>
      </c>
      <c r="I44" s="40"/>
      <c r="J44" s="41">
        <f t="shared" si="6"/>
        <v>0.13400000000000006</v>
      </c>
      <c r="K44" s="40">
        <f t="shared" si="7"/>
        <v>2368.2448979591832</v>
      </c>
    </row>
    <row r="45" spans="2:17" x14ac:dyDescent="0.25">
      <c r="B45" s="19" t="s">
        <v>18</v>
      </c>
      <c r="C45" s="12">
        <f>C44*(1-C52-C53)+C52</f>
        <v>6.4000000000000043E-2</v>
      </c>
      <c r="D45" s="4"/>
      <c r="E45" s="43">
        <v>0.35</v>
      </c>
      <c r="F45" s="40"/>
      <c r="G45" s="40">
        <f t="shared" si="4"/>
        <v>3.5792549306062802</v>
      </c>
      <c r="H45" s="40">
        <f t="shared" si="5"/>
        <v>0.1080032621393463</v>
      </c>
      <c r="I45" s="40"/>
      <c r="J45" s="41">
        <f t="shared" si="6"/>
        <v>0.14800000000000005</v>
      </c>
      <c r="K45" s="40">
        <f t="shared" si="7"/>
        <v>2573.3877551020405</v>
      </c>
    </row>
    <row r="46" spans="2:17" x14ac:dyDescent="0.25">
      <c r="B46" s="2"/>
      <c r="C46" s="20"/>
      <c r="D46" s="4"/>
      <c r="E46" s="43">
        <v>0.4</v>
      </c>
      <c r="F46" s="40"/>
      <c r="G46" s="40">
        <f t="shared" si="4"/>
        <v>2.9873494894071007</v>
      </c>
      <c r="H46" s="40">
        <f t="shared" si="5"/>
        <v>0.11164210730173565</v>
      </c>
      <c r="I46" s="40"/>
      <c r="J46" s="41">
        <f t="shared" si="6"/>
        <v>0.16200000000000006</v>
      </c>
      <c r="K46" s="40">
        <f t="shared" si="7"/>
        <v>2770.5306122448978</v>
      </c>
    </row>
    <row r="47" spans="2:17" x14ac:dyDescent="0.25">
      <c r="B47" s="53" t="s">
        <v>19</v>
      </c>
      <c r="C47" s="54"/>
      <c r="D47" s="4"/>
      <c r="E47" s="43">
        <v>0.45</v>
      </c>
      <c r="F47" s="40"/>
      <c r="G47" s="40">
        <f t="shared" si="4"/>
        <v>2.5309917355371883</v>
      </c>
      <c r="H47" s="40">
        <f t="shared" si="5"/>
        <v>0.11546799886888495</v>
      </c>
      <c r="I47" s="40"/>
      <c r="J47" s="41">
        <f t="shared" si="6"/>
        <v>0.17600000000000007</v>
      </c>
      <c r="K47" s="40">
        <f t="shared" si="7"/>
        <v>2959.6734693877547</v>
      </c>
    </row>
    <row r="48" spans="2:17" x14ac:dyDescent="0.25">
      <c r="B48" s="1" t="s">
        <v>20</v>
      </c>
      <c r="C48" s="33">
        <v>0.95</v>
      </c>
      <c r="D48" s="4"/>
      <c r="E48" s="43">
        <v>0.5</v>
      </c>
      <c r="F48" s="40"/>
      <c r="G48" s="40">
        <f t="shared" si="4"/>
        <v>2.1717451523545699</v>
      </c>
      <c r="H48" s="40">
        <f t="shared" si="5"/>
        <v>0.11949397957628413</v>
      </c>
      <c r="I48" s="40"/>
      <c r="J48" s="41">
        <f t="shared" si="6"/>
        <v>0.19000000000000006</v>
      </c>
      <c r="K48" s="40">
        <f t="shared" si="7"/>
        <v>3140.8163265306116</v>
      </c>
    </row>
    <row r="49" spans="1:11" x14ac:dyDescent="0.25">
      <c r="B49" s="5" t="s">
        <v>21</v>
      </c>
      <c r="C49" s="34">
        <v>0.33</v>
      </c>
      <c r="D49" s="2"/>
      <c r="E49" s="43">
        <v>0.55000000000000004</v>
      </c>
      <c r="F49" s="40"/>
      <c r="G49" s="40">
        <f t="shared" si="4"/>
        <v>1.8838908112264501</v>
      </c>
      <c r="H49" s="40">
        <f t="shared" si="5"/>
        <v>0.1237342491351229</v>
      </c>
      <c r="I49" s="40"/>
      <c r="J49" s="41">
        <f t="shared" si="6"/>
        <v>0.20400000000000007</v>
      </c>
      <c r="K49" s="40">
        <f t="shared" si="7"/>
        <v>3313.9591836734694</v>
      </c>
    </row>
    <row r="50" spans="1:11" x14ac:dyDescent="0.25">
      <c r="B50" s="2"/>
      <c r="C50" s="2"/>
      <c r="D50" s="2"/>
      <c r="E50" s="43">
        <v>0.6</v>
      </c>
      <c r="F50" s="40"/>
      <c r="G50" s="40">
        <f t="shared" si="4"/>
        <v>1.6496927868024573</v>
      </c>
      <c r="H50" s="40">
        <f t="shared" si="5"/>
        <v>0.12820428961087382</v>
      </c>
      <c r="I50" s="40"/>
      <c r="J50" s="41">
        <f t="shared" si="6"/>
        <v>0.21800000000000005</v>
      </c>
      <c r="K50" s="40">
        <f t="shared" si="7"/>
        <v>3479.1020408163254</v>
      </c>
    </row>
    <row r="51" spans="1:11" x14ac:dyDescent="0.25">
      <c r="B51" s="53" t="s">
        <v>33</v>
      </c>
      <c r="C51" s="54"/>
      <c r="D51" s="2"/>
      <c r="E51" s="43">
        <v>0.65</v>
      </c>
      <c r="F51" s="40"/>
      <c r="G51" s="40">
        <f t="shared" si="4"/>
        <v>1.4565992865636141</v>
      </c>
      <c r="H51" s="40">
        <f t="shared" si="5"/>
        <v>0.1329210069444445</v>
      </c>
      <c r="I51" s="40"/>
      <c r="J51" s="41">
        <f t="shared" si="6"/>
        <v>0.23200000000000007</v>
      </c>
      <c r="K51" s="40">
        <f t="shared" si="7"/>
        <v>3636.2448979591832</v>
      </c>
    </row>
    <row r="52" spans="1:11" x14ac:dyDescent="0.25">
      <c r="B52" s="7" t="s">
        <v>35</v>
      </c>
      <c r="C52" s="21">
        <f>1-C48</f>
        <v>5.0000000000000044E-2</v>
      </c>
      <c r="D52" s="2"/>
      <c r="E52" s="43">
        <v>0.7</v>
      </c>
      <c r="F52" s="40"/>
      <c r="G52" s="40">
        <f t="shared" si="4"/>
        <v>1.2955251503734548</v>
      </c>
      <c r="H52" s="40">
        <f t="shared" si="5"/>
        <v>0.13790289103560854</v>
      </c>
      <c r="I52" s="40"/>
      <c r="J52" s="41">
        <f t="shared" si="6"/>
        <v>0.24600000000000005</v>
      </c>
      <c r="K52" s="40">
        <f t="shared" si="7"/>
        <v>3785.3877551020396</v>
      </c>
    </row>
    <row r="53" spans="1:11" x14ac:dyDescent="0.25">
      <c r="B53" s="1" t="s">
        <v>36</v>
      </c>
      <c r="C53" s="10">
        <f>1-C49</f>
        <v>0.66999999999999993</v>
      </c>
      <c r="D53" s="2"/>
      <c r="E53" s="43">
        <v>0.75</v>
      </c>
      <c r="F53" s="40"/>
      <c r="G53" s="40">
        <f t="shared" si="4"/>
        <v>1.1597633136094669</v>
      </c>
      <c r="H53" s="40">
        <f t="shared" si="5"/>
        <v>0.14317019722425128</v>
      </c>
      <c r="I53" s="40"/>
      <c r="J53" s="41">
        <f t="shared" si="6"/>
        <v>0.26000000000000006</v>
      </c>
      <c r="K53" s="40">
        <f t="shared" si="7"/>
        <v>3926.5306122448983</v>
      </c>
    </row>
    <row r="54" spans="1:11" x14ac:dyDescent="0.25">
      <c r="B54" s="1" t="s">
        <v>34</v>
      </c>
      <c r="C54" s="9">
        <f>C41/100</f>
        <v>2.5000000000000001E-2</v>
      </c>
      <c r="D54" s="2"/>
      <c r="E54" s="43">
        <v>0.8</v>
      </c>
      <c r="F54" s="40"/>
      <c r="G54" s="40">
        <f t="shared" si="4"/>
        <v>1.0442751345303423</v>
      </c>
      <c r="H54" s="40">
        <f t="shared" si="5"/>
        <v>0.1487451525017266</v>
      </c>
      <c r="I54" s="40"/>
      <c r="J54" s="41">
        <f t="shared" si="6"/>
        <v>0.27400000000000008</v>
      </c>
      <c r="K54" s="40">
        <f t="shared" si="7"/>
        <v>4059.6734693877543</v>
      </c>
    </row>
    <row r="55" spans="1:11" x14ac:dyDescent="0.25">
      <c r="B55" s="1" t="s">
        <v>5</v>
      </c>
      <c r="C55" s="11">
        <f>((1-C52-C53)/(C44*(1-C53)+(1-C44)*C52))^2</f>
        <v>19.140624999999975</v>
      </c>
      <c r="D55" s="2"/>
      <c r="E55" s="43">
        <v>0.85</v>
      </c>
      <c r="F55" s="40"/>
      <c r="G55" s="40">
        <f t="shared" si="4"/>
        <v>0.94521604938271597</v>
      </c>
      <c r="H55" s="40">
        <f t="shared" si="5"/>
        <v>0.15465219038000258</v>
      </c>
      <c r="I55" s="40"/>
      <c r="J55" s="41">
        <f t="shared" si="6"/>
        <v>0.28800000000000003</v>
      </c>
      <c r="K55" s="40">
        <f t="shared" si="7"/>
        <v>4184.8163265306111</v>
      </c>
    </row>
    <row r="56" spans="1:11" x14ac:dyDescent="0.25">
      <c r="B56" s="5" t="s">
        <v>6</v>
      </c>
      <c r="C56" s="22">
        <f>((-1+C52+C53)/(C44*C53+(1-C44)*(1-C52)))^2</f>
        <v>8.9487910000730544E-2</v>
      </c>
      <c r="D56" s="2"/>
      <c r="E56" s="43">
        <v>0.9</v>
      </c>
      <c r="F56" s="40"/>
      <c r="G56" s="40">
        <f t="shared" si="4"/>
        <v>0.85961142055172968</v>
      </c>
      <c r="H56" s="40">
        <f t="shared" si="5"/>
        <v>0.16091821906224094</v>
      </c>
      <c r="I56" s="40"/>
      <c r="J56" s="41">
        <f t="shared" si="6"/>
        <v>0.3020000000000001</v>
      </c>
      <c r="K56" s="40">
        <f t="shared" si="7"/>
        <v>4301.9591836734689</v>
      </c>
    </row>
    <row r="57" spans="1:11" ht="15.75" thickBot="1" x14ac:dyDescent="0.3">
      <c r="B57" s="2"/>
      <c r="C57" s="2"/>
      <c r="D57" s="2"/>
      <c r="E57" s="43">
        <v>0.95</v>
      </c>
      <c r="F57" s="40"/>
      <c r="G57" s="40">
        <f t="shared" si="4"/>
        <v>0.78513058804678726</v>
      </c>
      <c r="H57" s="40">
        <f t="shared" si="5"/>
        <v>0.16757292842242064</v>
      </c>
      <c r="I57" s="40"/>
      <c r="J57" s="41">
        <f t="shared" si="6"/>
        <v>0.31600000000000006</v>
      </c>
      <c r="K57" s="40">
        <f t="shared" si="7"/>
        <v>4411.1020408163249</v>
      </c>
    </row>
    <row r="58" spans="1:11" ht="15.75" thickBot="1" x14ac:dyDescent="0.3">
      <c r="B58" s="23" t="s">
        <v>32</v>
      </c>
      <c r="C58" s="27">
        <f>1/((C55*C45+(1-C45)*C56)*(C54^2))</f>
        <v>1222.5306122448985</v>
      </c>
      <c r="D58" s="2"/>
      <c r="E58" s="43">
        <v>1</v>
      </c>
      <c r="F58" s="40"/>
      <c r="G58" s="40">
        <f t="shared" si="4"/>
        <v>0.71992653810835616</v>
      </c>
      <c r="H58" s="40">
        <f t="shared" si="5"/>
        <v>0.17464914234796178</v>
      </c>
      <c r="I58" s="40"/>
      <c r="J58" s="41">
        <f t="shared" si="6"/>
        <v>0.33000000000000007</v>
      </c>
      <c r="K58" s="40">
        <f t="shared" si="7"/>
        <v>4512.2448979591818</v>
      </c>
    </row>
    <row r="59" spans="1:11" x14ac:dyDescent="0.25">
      <c r="D59" s="2"/>
    </row>
    <row r="60" spans="1:11" x14ac:dyDescent="0.25">
      <c r="A60" s="2"/>
      <c r="D60" s="2"/>
    </row>
    <row r="61" spans="1:11" x14ac:dyDescent="0.25">
      <c r="A61" s="2"/>
      <c r="D61" s="2"/>
    </row>
    <row r="62" spans="1:11" ht="52.5" customHeight="1" x14ac:dyDescent="0.25"/>
    <row r="63" spans="1:11" ht="18.75" x14ac:dyDescent="0.3">
      <c r="B63" s="15" t="s">
        <v>28</v>
      </c>
      <c r="C63" s="16"/>
      <c r="D63" s="16"/>
      <c r="E63" s="2"/>
      <c r="F63" s="2"/>
    </row>
    <row r="64" spans="1:11" x14ac:dyDescent="0.25">
      <c r="B64" s="2"/>
      <c r="C64" s="2"/>
    </row>
    <row r="65" spans="2:11" x14ac:dyDescent="0.25">
      <c r="B65" s="53" t="s">
        <v>2</v>
      </c>
      <c r="C65" s="54"/>
      <c r="E65" s="36" t="s">
        <v>25</v>
      </c>
      <c r="F65" s="36" t="s">
        <v>11</v>
      </c>
      <c r="G65" s="36" t="s">
        <v>9</v>
      </c>
      <c r="H65" s="36" t="s">
        <v>10</v>
      </c>
      <c r="I65" s="36"/>
      <c r="J65" s="36" t="s">
        <v>13</v>
      </c>
      <c r="K65" s="37" t="s">
        <v>23</v>
      </c>
    </row>
    <row r="66" spans="2:11" x14ac:dyDescent="0.25">
      <c r="B66" s="7" t="s">
        <v>15</v>
      </c>
      <c r="C66" s="45">
        <v>82790000</v>
      </c>
      <c r="E66" s="38">
        <v>0.01</v>
      </c>
      <c r="F66" s="39">
        <f t="shared" ref="F66:F86" si="8">$C$66*E66/1000</f>
        <v>827.9</v>
      </c>
      <c r="G66" s="40">
        <f t="shared" ref="G66:G86" si="9">((1-$C$80-$C$81)/(E66*(1-$C$81)+(1-E66)*$C$80))^2</f>
        <v>28.122130394857628</v>
      </c>
      <c r="H66" s="40">
        <f t="shared" ref="H66:H86" si="10">((-1+$C$80+$C$81)/(E66*$C$81+(1-E66)*(1-$C$80)))^2</f>
        <v>8.7384153579254928E-2</v>
      </c>
      <c r="I66" s="40">
        <f t="shared" ref="I66:I86" si="11">E66*$C$77</f>
        <v>5.0000000000000001E-3</v>
      </c>
      <c r="J66" s="41">
        <f t="shared" ref="J66:J86" si="12">E66*(1-$C$80-$C$81)+$C$80</f>
        <v>5.2800000000000041E-2</v>
      </c>
      <c r="K66" s="40">
        <f>1/((G66*J66+(1-J66)*H66)*(I66^2))</f>
        <v>25516.408163265321</v>
      </c>
    </row>
    <row r="67" spans="2:11" x14ac:dyDescent="0.25">
      <c r="B67" s="5" t="s">
        <v>17</v>
      </c>
      <c r="C67" s="47">
        <f>827900</f>
        <v>827900</v>
      </c>
      <c r="E67" s="38">
        <v>1.2E-2</v>
      </c>
      <c r="F67" s="39">
        <f t="shared" si="8"/>
        <v>993.48</v>
      </c>
      <c r="G67" s="40">
        <f t="shared" si="9"/>
        <v>27.534958158102317</v>
      </c>
      <c r="H67" s="40">
        <f t="shared" si="10"/>
        <v>8.7487571140697037E-2</v>
      </c>
      <c r="I67" s="40">
        <f t="shared" si="11"/>
        <v>6.0000000000000001E-3</v>
      </c>
      <c r="J67" s="41">
        <f t="shared" si="12"/>
        <v>5.3360000000000046E-2</v>
      </c>
      <c r="K67" s="40">
        <f t="shared" ref="K67:K86" si="13">1/((G67*J67+(1-J67)*H67)*(I67^2))</f>
        <v>17897.077097505677</v>
      </c>
    </row>
    <row r="68" spans="2:11" x14ac:dyDescent="0.25">
      <c r="B68" s="3"/>
      <c r="C68" s="3"/>
      <c r="E68" s="38">
        <v>1.4E-2</v>
      </c>
      <c r="F68" s="39">
        <f t="shared" si="8"/>
        <v>1159.06</v>
      </c>
      <c r="G68" s="40">
        <f t="shared" si="9"/>
        <v>26.96598543616652</v>
      </c>
      <c r="H68" s="40">
        <f t="shared" si="10"/>
        <v>8.7591172400048767E-2</v>
      </c>
      <c r="I68" s="40">
        <f t="shared" si="11"/>
        <v>7.0000000000000001E-3</v>
      </c>
      <c r="J68" s="41">
        <f t="shared" si="12"/>
        <v>5.3920000000000044E-2</v>
      </c>
      <c r="K68" s="40">
        <f t="shared" si="13"/>
        <v>13279.007080383177</v>
      </c>
    </row>
    <row r="69" spans="2:11" x14ac:dyDescent="0.25">
      <c r="B69" s="50" t="s">
        <v>30</v>
      </c>
      <c r="C69" s="51"/>
      <c r="E69" s="38">
        <v>1.6E-2</v>
      </c>
      <c r="F69" s="39">
        <f t="shared" si="8"/>
        <v>1324.64</v>
      </c>
      <c r="G69" s="40">
        <f t="shared" si="9"/>
        <v>26.414467796990223</v>
      </c>
      <c r="H69" s="40">
        <f t="shared" si="10"/>
        <v>8.7694957792631617E-2</v>
      </c>
      <c r="I69" s="40">
        <f t="shared" si="11"/>
        <v>8.0000000000000002E-3</v>
      </c>
      <c r="J69" s="41">
        <f t="shared" si="12"/>
        <v>5.4480000000000042E-2</v>
      </c>
      <c r="K69" s="40">
        <f t="shared" si="13"/>
        <v>10266.248724489802</v>
      </c>
    </row>
    <row r="70" spans="2:11" x14ac:dyDescent="0.25">
      <c r="B70" s="7" t="s">
        <v>24</v>
      </c>
      <c r="C70" s="18">
        <f>C67/C66</f>
        <v>0.01</v>
      </c>
      <c r="E70" s="38">
        <v>1.7999999999999999E-2</v>
      </c>
      <c r="F70" s="39">
        <f t="shared" si="8"/>
        <v>1490.22</v>
      </c>
      <c r="G70" s="40">
        <f t="shared" si="9"/>
        <v>25.879698485667898</v>
      </c>
      <c r="H70" s="40">
        <f t="shared" si="10"/>
        <v>8.7798927755057266E-2</v>
      </c>
      <c r="I70" s="40">
        <f t="shared" si="11"/>
        <v>8.9999999999999993E-3</v>
      </c>
      <c r="J70" s="41">
        <f t="shared" si="12"/>
        <v>5.5040000000000047E-2</v>
      </c>
      <c r="K70" s="40">
        <f t="shared" si="13"/>
        <v>8190.1295036533156</v>
      </c>
    </row>
    <row r="71" spans="2:11" x14ac:dyDescent="0.25">
      <c r="B71" s="13" t="s">
        <v>18</v>
      </c>
      <c r="C71" s="8">
        <f>C70*(1-C80-C81)+C80</f>
        <v>5.2800000000000041E-2</v>
      </c>
      <c r="E71" s="38">
        <v>0.02</v>
      </c>
      <c r="F71" s="39">
        <f t="shared" si="8"/>
        <v>1655.8</v>
      </c>
      <c r="G71" s="40">
        <f t="shared" si="9"/>
        <v>25.361006159101457</v>
      </c>
      <c r="H71" s="40">
        <f t="shared" si="10"/>
        <v>8.7903082725232409E-2</v>
      </c>
      <c r="I71" s="40">
        <f t="shared" si="11"/>
        <v>0.01</v>
      </c>
      <c r="J71" s="41">
        <f t="shared" si="12"/>
        <v>5.5600000000000045E-2</v>
      </c>
      <c r="K71" s="40">
        <f t="shared" si="13"/>
        <v>6697.530612244901</v>
      </c>
    </row>
    <row r="72" spans="2:11" x14ac:dyDescent="0.25">
      <c r="B72" s="19" t="s">
        <v>39</v>
      </c>
      <c r="C72" s="49">
        <f>C67/C66*C77*100</f>
        <v>0.5</v>
      </c>
      <c r="E72" s="38">
        <v>2.1999999999999999E-2</v>
      </c>
      <c r="F72" s="39">
        <f t="shared" si="8"/>
        <v>1821.38</v>
      </c>
      <c r="G72" s="40">
        <f t="shared" si="9"/>
        <v>24.857752777980668</v>
      </c>
      <c r="H72" s="40">
        <f t="shared" si="10"/>
        <v>8.8007423142363067E-2</v>
      </c>
      <c r="I72" s="40">
        <f t="shared" si="11"/>
        <v>1.0999999999999999E-2</v>
      </c>
      <c r="J72" s="41">
        <f t="shared" si="12"/>
        <v>5.6160000000000043E-2</v>
      </c>
      <c r="K72" s="40">
        <f t="shared" si="13"/>
        <v>5587.5837409343931</v>
      </c>
    </row>
    <row r="73" spans="2:11" x14ac:dyDescent="0.25">
      <c r="E73" s="38">
        <v>2.4E-2</v>
      </c>
      <c r="F73" s="39">
        <f t="shared" si="8"/>
        <v>1986.96</v>
      </c>
      <c r="G73" s="40">
        <f t="shared" si="9"/>
        <v>24.369331643726298</v>
      </c>
      <c r="H73" s="40">
        <f t="shared" si="10"/>
        <v>8.8111949446959464E-2</v>
      </c>
      <c r="I73" s="40">
        <f t="shared" si="11"/>
        <v>1.2E-2</v>
      </c>
      <c r="J73" s="41">
        <f t="shared" si="12"/>
        <v>5.6720000000000048E-2</v>
      </c>
      <c r="K73" s="40">
        <f t="shared" si="13"/>
        <v>4739.1264172335641</v>
      </c>
    </row>
    <row r="74" spans="2:11" x14ac:dyDescent="0.25">
      <c r="B74" s="53" t="s">
        <v>19</v>
      </c>
      <c r="C74" s="54"/>
      <c r="E74" s="38">
        <v>2.5999999999999999E-2</v>
      </c>
      <c r="F74" s="39">
        <f t="shared" si="8"/>
        <v>2152.54</v>
      </c>
      <c r="G74" s="40">
        <f t="shared" si="9"/>
        <v>23.895165569114546</v>
      </c>
      <c r="H74" s="40">
        <f t="shared" si="10"/>
        <v>8.8216662080840558E-2</v>
      </c>
      <c r="I74" s="40">
        <f t="shared" si="11"/>
        <v>1.2999999999999999E-2</v>
      </c>
      <c r="J74" s="41">
        <f t="shared" si="12"/>
        <v>5.7280000000000046E-2</v>
      </c>
      <c r="K74" s="40">
        <f t="shared" si="13"/>
        <v>4075.5193817171853</v>
      </c>
    </row>
    <row r="75" spans="2:11" x14ac:dyDescent="0.25">
      <c r="B75" s="7" t="s">
        <v>20</v>
      </c>
      <c r="C75" s="48">
        <v>0.95</v>
      </c>
      <c r="E75" s="38">
        <v>2.8000000000000001E-2</v>
      </c>
      <c r="F75" s="39">
        <f t="shared" si="8"/>
        <v>2318.12</v>
      </c>
      <c r="G75" s="40">
        <f t="shared" si="9"/>
        <v>23.434705172278534</v>
      </c>
      <c r="H75" s="40">
        <f t="shared" si="10"/>
        <v>8.8321561487138725E-2</v>
      </c>
      <c r="I75" s="40">
        <f t="shared" si="11"/>
        <v>1.4E-2</v>
      </c>
      <c r="J75" s="41">
        <f t="shared" si="12"/>
        <v>5.7840000000000044E-2</v>
      </c>
      <c r="K75" s="40">
        <f t="shared" si="13"/>
        <v>3546.3436068304882</v>
      </c>
    </row>
    <row r="76" spans="2:11" x14ac:dyDescent="0.25">
      <c r="B76" s="1" t="s">
        <v>21</v>
      </c>
      <c r="C76" s="33">
        <v>0.33</v>
      </c>
      <c r="E76" s="38">
        <v>0.03</v>
      </c>
      <c r="F76" s="39">
        <f t="shared" si="8"/>
        <v>2483.6999999999998</v>
      </c>
      <c r="G76" s="40">
        <f t="shared" si="9"/>
        <v>22.987427284668755</v>
      </c>
      <c r="H76" s="40">
        <f t="shared" si="10"/>
        <v>8.8426648110304498E-2</v>
      </c>
      <c r="I76" s="40">
        <f t="shared" si="11"/>
        <v>1.4999999999999999E-2</v>
      </c>
      <c r="J76" s="41">
        <f t="shared" si="12"/>
        <v>5.8400000000000049E-2</v>
      </c>
      <c r="K76" s="40">
        <f t="shared" si="13"/>
        <v>3117.3151927437661</v>
      </c>
    </row>
    <row r="77" spans="2:11" x14ac:dyDescent="0.25">
      <c r="B77" s="19" t="s">
        <v>31</v>
      </c>
      <c r="C77" s="35">
        <v>0.5</v>
      </c>
      <c r="E77" s="38">
        <v>3.2000000000000001E-2</v>
      </c>
      <c r="F77" s="39">
        <f t="shared" si="8"/>
        <v>2649.28</v>
      </c>
      <c r="G77" s="40">
        <f t="shared" si="9"/>
        <v>22.552833464354531</v>
      </c>
      <c r="H77" s="40">
        <f t="shared" si="10"/>
        <v>8.8531922396111212E-2</v>
      </c>
      <c r="I77" s="40">
        <f t="shared" si="11"/>
        <v>1.6E-2</v>
      </c>
      <c r="J77" s="41">
        <f t="shared" si="12"/>
        <v>5.8960000000000047E-2</v>
      </c>
      <c r="K77" s="40">
        <f t="shared" si="13"/>
        <v>2764.4550382653074</v>
      </c>
    </row>
    <row r="78" spans="2:11" x14ac:dyDescent="0.25">
      <c r="B78" s="32"/>
      <c r="C78" s="32"/>
      <c r="E78" s="38">
        <v>3.4000000000000002E-2</v>
      </c>
      <c r="F78" s="39">
        <f t="shared" si="8"/>
        <v>2814.86</v>
      </c>
      <c r="G78" s="40">
        <f t="shared" si="9"/>
        <v>22.130448606775325</v>
      </c>
      <c r="H78" s="40">
        <f t="shared" si="10"/>
        <v>8.8637384791659751E-2</v>
      </c>
      <c r="I78" s="40">
        <f t="shared" si="11"/>
        <v>1.7000000000000001E-2</v>
      </c>
      <c r="J78" s="41">
        <f t="shared" si="12"/>
        <v>5.9520000000000045E-2</v>
      </c>
      <c r="K78" s="40">
        <f t="shared" si="13"/>
        <v>2470.5780665207267</v>
      </c>
    </row>
    <row r="79" spans="2:11" x14ac:dyDescent="0.25">
      <c r="B79" s="53" t="s">
        <v>22</v>
      </c>
      <c r="C79" s="54"/>
      <c r="E79" s="38">
        <v>3.5999999999999997E-2</v>
      </c>
      <c r="F79" s="39">
        <f t="shared" si="8"/>
        <v>2980.44</v>
      </c>
      <c r="G79" s="40">
        <f t="shared" si="9"/>
        <v>21.719819645709819</v>
      </c>
      <c r="H79" s="40">
        <f t="shared" si="10"/>
        <v>8.8743035745383322E-2</v>
      </c>
      <c r="I79" s="40">
        <f t="shared" si="11"/>
        <v>1.7999999999999999E-2</v>
      </c>
      <c r="J79" s="41">
        <f t="shared" si="12"/>
        <v>6.0080000000000043E-2</v>
      </c>
      <c r="K79" s="40">
        <f t="shared" si="13"/>
        <v>2223.1038044847583</v>
      </c>
    </row>
    <row r="80" spans="2:11" x14ac:dyDescent="0.25">
      <c r="B80" s="7" t="s">
        <v>3</v>
      </c>
      <c r="C80" s="21">
        <f>1-C75</f>
        <v>5.0000000000000044E-2</v>
      </c>
      <c r="E80" s="38">
        <v>3.7999999999999999E-2</v>
      </c>
      <c r="F80" s="39">
        <f t="shared" si="8"/>
        <v>3146.02</v>
      </c>
      <c r="G80" s="40">
        <f t="shared" si="9"/>
        <v>21.320514337828307</v>
      </c>
      <c r="H80" s="40">
        <f t="shared" si="10"/>
        <v>8.8848875707052133E-2</v>
      </c>
      <c r="I80" s="40">
        <f t="shared" si="11"/>
        <v>1.9E-2</v>
      </c>
      <c r="J80" s="41">
        <f t="shared" si="12"/>
        <v>6.0640000000000041E-2</v>
      </c>
      <c r="K80" s="40">
        <f t="shared" si="13"/>
        <v>2012.6487647690667</v>
      </c>
    </row>
    <row r="81" spans="2:17" x14ac:dyDescent="0.25">
      <c r="B81" s="1" t="s">
        <v>4</v>
      </c>
      <c r="C81" s="10">
        <f>1-C76</f>
        <v>0.66999999999999993</v>
      </c>
      <c r="E81" s="38">
        <v>0.04</v>
      </c>
      <c r="F81" s="39">
        <f t="shared" si="8"/>
        <v>3311.6</v>
      </c>
      <c r="G81" s="40">
        <f t="shared" si="9"/>
        <v>20.932120124738322</v>
      </c>
      <c r="H81" s="40">
        <f t="shared" si="10"/>
        <v>8.8954905127778303E-2</v>
      </c>
      <c r="I81" s="40">
        <f t="shared" si="11"/>
        <v>0.02</v>
      </c>
      <c r="J81" s="41">
        <f t="shared" si="12"/>
        <v>6.1200000000000046E-2</v>
      </c>
      <c r="K81" s="40">
        <f t="shared" si="13"/>
        <v>1832.0969387755108</v>
      </c>
    </row>
    <row r="82" spans="2:17" x14ac:dyDescent="0.25">
      <c r="B82" s="1" t="s">
        <v>7</v>
      </c>
      <c r="C82" s="11">
        <f>C72/100</f>
        <v>5.0000000000000001E-3</v>
      </c>
      <c r="E82" s="38">
        <v>4.2000000000000003E-2</v>
      </c>
      <c r="F82" s="39">
        <f t="shared" si="8"/>
        <v>3477.18</v>
      </c>
      <c r="G82" s="40">
        <f t="shared" si="9"/>
        <v>20.554243066927949</v>
      </c>
      <c r="H82" s="40">
        <f t="shared" si="10"/>
        <v>8.9061124460020596E-2</v>
      </c>
      <c r="I82" s="40">
        <f t="shared" si="11"/>
        <v>2.1000000000000001E-2</v>
      </c>
      <c r="J82" s="41">
        <f t="shared" si="12"/>
        <v>6.1760000000000044E-2</v>
      </c>
      <c r="K82" s="40">
        <f t="shared" si="13"/>
        <v>1675.9713082511921</v>
      </c>
    </row>
    <row r="83" spans="2:17" x14ac:dyDescent="0.25">
      <c r="B83" s="1" t="s">
        <v>5</v>
      </c>
      <c r="C83" s="11">
        <f>((1-C80-C81)/(C70*(1-C81)+(1-C70)*C80))^2</f>
        <v>28.122130394857628</v>
      </c>
      <c r="E83" s="38">
        <v>4.3999999999999997E-2</v>
      </c>
      <c r="F83" s="39">
        <f t="shared" si="8"/>
        <v>3642.76</v>
      </c>
      <c r="G83" s="40">
        <f t="shared" si="9"/>
        <v>20.186506844461707</v>
      </c>
      <c r="H83" s="40">
        <f t="shared" si="10"/>
        <v>8.9167534157589337E-2</v>
      </c>
      <c r="I83" s="40">
        <f t="shared" si="11"/>
        <v>2.1999999999999999E-2</v>
      </c>
      <c r="J83" s="41">
        <f t="shared" si="12"/>
        <v>6.2320000000000042E-2</v>
      </c>
      <c r="K83" s="40">
        <f t="shared" si="13"/>
        <v>1539.9998313374945</v>
      </c>
    </row>
    <row r="84" spans="2:17" x14ac:dyDescent="0.25">
      <c r="B84" s="5" t="s">
        <v>6</v>
      </c>
      <c r="C84" s="22">
        <f>((-1+C80+C81)/(C70*C81+(1-C70)*(1-C80)))^2</f>
        <v>8.7384153579254928E-2</v>
      </c>
      <c r="E84" s="38">
        <v>4.5999999999999999E-2</v>
      </c>
      <c r="F84" s="39">
        <f t="shared" si="8"/>
        <v>3808.34</v>
      </c>
      <c r="G84" s="40">
        <f t="shared" si="9"/>
        <v>19.8285518196945</v>
      </c>
      <c r="H84" s="40">
        <f t="shared" si="10"/>
        <v>8.9274134675651026E-2</v>
      </c>
      <c r="I84" s="40">
        <f t="shared" si="11"/>
        <v>2.3E-2</v>
      </c>
      <c r="J84" s="41">
        <f t="shared" si="12"/>
        <v>6.2880000000000047E-2</v>
      </c>
      <c r="K84" s="40">
        <f t="shared" si="13"/>
        <v>1420.8099996142132</v>
      </c>
    </row>
    <row r="85" spans="2:17" ht="15.75" thickBot="1" x14ac:dyDescent="0.3">
      <c r="B85" s="2"/>
      <c r="C85" s="2"/>
      <c r="E85" s="38">
        <v>4.8000000000000001E-2</v>
      </c>
      <c r="F85" s="39">
        <f t="shared" si="8"/>
        <v>3973.92</v>
      </c>
      <c r="G85" s="40">
        <f t="shared" si="9"/>
        <v>19.480034157643544</v>
      </c>
      <c r="H85" s="40">
        <f t="shared" si="10"/>
        <v>8.9380926470733466E-2</v>
      </c>
      <c r="I85" s="40">
        <f t="shared" si="11"/>
        <v>2.4E-2</v>
      </c>
      <c r="J85" s="41">
        <f t="shared" si="12"/>
        <v>6.3440000000000052E-2</v>
      </c>
      <c r="K85" s="40">
        <f t="shared" si="13"/>
        <v>1315.7101757369617</v>
      </c>
    </row>
    <row r="86" spans="2:17" ht="15.75" thickBot="1" x14ac:dyDescent="0.3">
      <c r="B86" s="23" t="s">
        <v>32</v>
      </c>
      <c r="C86" s="27">
        <f>1/((C83*C71+(1-C71)*C84)*(C82^2))</f>
        <v>25516.408163265321</v>
      </c>
      <c r="E86" s="38">
        <v>0.05</v>
      </c>
      <c r="F86" s="39">
        <f t="shared" si="8"/>
        <v>4139.5</v>
      </c>
      <c r="G86" s="40">
        <f t="shared" si="9"/>
        <v>19.140624999999975</v>
      </c>
      <c r="H86" s="40">
        <f t="shared" si="10"/>
        <v>8.9487910000730544E-2</v>
      </c>
      <c r="I86" s="40">
        <f t="shared" si="11"/>
        <v>2.5000000000000001E-2</v>
      </c>
      <c r="J86" s="41">
        <f t="shared" si="12"/>
        <v>6.4000000000000043E-2</v>
      </c>
      <c r="K86" s="40">
        <f t="shared" si="13"/>
        <v>1222.5306122448985</v>
      </c>
    </row>
    <row r="89" spans="2:17" x14ac:dyDescent="0.25">
      <c r="E89" s="2"/>
      <c r="F89" s="2"/>
    </row>
    <row r="90" spans="2:17" x14ac:dyDescent="0.25">
      <c r="E90" s="2"/>
      <c r="F90" s="2"/>
    </row>
    <row r="91" spans="2:17" x14ac:dyDescent="0.25">
      <c r="E91" s="14"/>
      <c r="F91" s="14"/>
    </row>
    <row r="92" spans="2:17" x14ac:dyDescent="0.25">
      <c r="B92" s="6" t="s">
        <v>37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2:17" x14ac:dyDescent="0.25">
      <c r="B93" s="2" t="s">
        <v>0</v>
      </c>
      <c r="C93" s="2"/>
      <c r="D93" s="2"/>
    </row>
    <row r="94" spans="2:17" ht="150" customHeight="1" x14ac:dyDescent="0.25">
      <c r="B94" s="52" t="s">
        <v>1</v>
      </c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</row>
  </sheetData>
  <mergeCells count="14">
    <mergeCell ref="B38:C38"/>
    <mergeCell ref="B94:O94"/>
    <mergeCell ref="B19:C19"/>
    <mergeCell ref="B34:Q34"/>
    <mergeCell ref="B6:C6"/>
    <mergeCell ref="B11:C11"/>
    <mergeCell ref="B15:C15"/>
    <mergeCell ref="B43:C43"/>
    <mergeCell ref="B47:C47"/>
    <mergeCell ref="B79:C79"/>
    <mergeCell ref="B65:C65"/>
    <mergeCell ref="B69:C69"/>
    <mergeCell ref="B74:C74"/>
    <mergeCell ref="B51:C51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IfW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Stamer, Vincent</dc:creator>
  <cp:lastModifiedBy>Stamer, Vincent</cp:lastModifiedBy>
  <dcterms:created xsi:type="dcterms:W3CDTF">2020-03-19T16:14:10Z</dcterms:created>
  <dcterms:modified xsi:type="dcterms:W3CDTF">2020-03-25T13:40:18Z</dcterms:modified>
</cp:coreProperties>
</file>